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220" windowHeight="8265" activeTab="0"/>
  </bookViews>
  <sheets>
    <sheet name="Cover" sheetId="1" r:id="rId1"/>
    <sheet name="Captured Pool" sheetId="2" r:id="rId2"/>
    <sheet name="Requests" sheetId="3" r:id="rId3"/>
    <sheet name="Allocation Summary" sheetId="4" r:id="rId4"/>
    <sheet name="Ag" sheetId="5" r:id="rId5"/>
    <sheet name="A&amp;S" sheetId="6" r:id="rId6"/>
    <sheet name="COB" sheetId="7" r:id="rId7"/>
    <sheet name="Ed" sheetId="8" r:id="rId8"/>
    <sheet name="Engrg" sheetId="9" r:id="rId9"/>
    <sheet name="HS" sheetId="10" r:id="rId10"/>
    <sheet name="Law" sheetId="11" r:id="rId11"/>
    <sheet name="Other" sheetId="12" r:id="rId12"/>
    <sheet name="OS+SENR+WGISC" sheetId="13" r:id="rId13"/>
    <sheet name="Promotions" sheetId="14" r:id="rId14"/>
    <sheet name="Salary Adjustments" sheetId="15" r:id="rId15"/>
    <sheet name="Recalls" sheetId="16" r:id="rId16"/>
    <sheet name="Exigencies" sheetId="17" r:id="rId17"/>
    <sheet name="Prior Authorizations" sheetId="18" state="hidden" r:id="rId18"/>
  </sheets>
  <definedNames>
    <definedName name="_xlnm.Print_Area" localSheetId="2">'Requests'!$A$1:$J$121</definedName>
    <definedName name="_xlnm.Print_Titles" localSheetId="2">'Requests'!$1:$6</definedName>
  </definedNames>
  <calcPr fullCalcOnLoad="1"/>
</workbook>
</file>

<file path=xl/sharedStrings.xml><?xml version="1.0" encoding="utf-8"?>
<sst xmlns="http://schemas.openxmlformats.org/spreadsheetml/2006/main" count="1330" uniqueCount="576">
  <si>
    <t>Outreach</t>
  </si>
  <si>
    <t>Math</t>
  </si>
  <si>
    <t>Total</t>
  </si>
  <si>
    <t>Salary adjustments</t>
  </si>
  <si>
    <t>Engineering</t>
  </si>
  <si>
    <t>A&amp;S</t>
  </si>
  <si>
    <t>Business</t>
  </si>
  <si>
    <t>Agriculture</t>
  </si>
  <si>
    <t>Education</t>
  </si>
  <si>
    <t>Health Sciences</t>
  </si>
  <si>
    <t>Law</t>
  </si>
  <si>
    <t>College</t>
  </si>
  <si>
    <t>Comment</t>
  </si>
  <si>
    <t>Asst Prof</t>
  </si>
  <si>
    <t>Letter</t>
  </si>
  <si>
    <t>Pos</t>
  </si>
  <si>
    <t>Department</t>
  </si>
  <si>
    <t>Name</t>
  </si>
  <si>
    <t>Rec'd?</t>
  </si>
  <si>
    <t>#</t>
  </si>
  <si>
    <t>Title</t>
  </si>
  <si>
    <t>Appt.</t>
  </si>
  <si>
    <t>Salary</t>
  </si>
  <si>
    <t>X</t>
  </si>
  <si>
    <t>Professor</t>
  </si>
  <si>
    <t>Accounting</t>
  </si>
  <si>
    <t>Econ &amp; Finance</t>
  </si>
  <si>
    <t xml:space="preserve">     Total</t>
  </si>
  <si>
    <t>Salary Adjustments</t>
  </si>
  <si>
    <t>Increase</t>
  </si>
  <si>
    <t>Animal Science</t>
  </si>
  <si>
    <t>CENTRALIZED POSITION MANAGEMENT WORKBOOK</t>
  </si>
  <si>
    <t>CONTENTS:</t>
  </si>
  <si>
    <t>Captured Pool</t>
  </si>
  <si>
    <t>COLLLEGE OF AGRICULTURE SUMMARY</t>
  </si>
  <si>
    <t>SUMMARY OF NEW COMMITMENTS TO THE OUTREACH SCHOOL</t>
  </si>
  <si>
    <t>FTE</t>
  </si>
  <si>
    <t>SUMMARY OF NEW COMMITMENTS TO SENR</t>
  </si>
  <si>
    <t>PPR</t>
  </si>
  <si>
    <t>A&amp;S Total</t>
  </si>
  <si>
    <t>Vetsci</t>
  </si>
  <si>
    <t>Agriculture Total</t>
  </si>
  <si>
    <t>Business Total</t>
  </si>
  <si>
    <t>Education Total</t>
  </si>
  <si>
    <t>Engineering Total</t>
  </si>
  <si>
    <t>Kinesiology/Health</t>
  </si>
  <si>
    <t>Health Sciences Total</t>
  </si>
  <si>
    <t>Outreach Total</t>
  </si>
  <si>
    <t>Grand Total</t>
  </si>
  <si>
    <t>TOTAL</t>
  </si>
  <si>
    <t>Promotions</t>
  </si>
  <si>
    <t>Funded by</t>
  </si>
  <si>
    <t>Pos #</t>
  </si>
  <si>
    <t>10%</t>
  </si>
  <si>
    <t>CPM</t>
  </si>
  <si>
    <t>Ag</t>
  </si>
  <si>
    <t>Ag Total</t>
  </si>
  <si>
    <t>AHC Total</t>
  </si>
  <si>
    <t>Bus Total</t>
  </si>
  <si>
    <t>Educ Total</t>
  </si>
  <si>
    <t>Engr Total</t>
  </si>
  <si>
    <t>Pharmacy</t>
  </si>
  <si>
    <t>Ansci</t>
  </si>
  <si>
    <t>Rank</t>
  </si>
  <si>
    <t xml:space="preserve">   Ketchum Position</t>
  </si>
  <si>
    <t>CJ</t>
  </si>
  <si>
    <t xml:space="preserve">   Shavalier Replacement</t>
  </si>
  <si>
    <t xml:space="preserve">   Dean</t>
  </si>
  <si>
    <t xml:space="preserve">   Dept Head/Hixon Replacement</t>
  </si>
  <si>
    <t>Authorized June 2000</t>
  </si>
  <si>
    <t xml:space="preserve">   Van Campen Position</t>
  </si>
  <si>
    <t xml:space="preserve">   Dept Head</t>
  </si>
  <si>
    <t>Mgmt &amp; Mkt</t>
  </si>
  <si>
    <t xml:space="preserve">   Negative Tenure - Seaton</t>
  </si>
  <si>
    <t xml:space="preserve">   Crocker Phased Retirement</t>
  </si>
  <si>
    <t>Estimate</t>
  </si>
  <si>
    <t xml:space="preserve">   Wells Phased Retirement</t>
  </si>
  <si>
    <t xml:space="preserve">   Sheehy Position</t>
  </si>
  <si>
    <t>Elem/Early</t>
  </si>
  <si>
    <t xml:space="preserve">   Negative Tenure - Stader</t>
  </si>
  <si>
    <t>Educ Ldrshp</t>
  </si>
  <si>
    <t xml:space="preserve">   Akintunde replacement</t>
  </si>
  <si>
    <t xml:space="preserve">   Rhone replacement</t>
  </si>
  <si>
    <t xml:space="preserve">   LTAP/T2-Wilson</t>
  </si>
  <si>
    <t xml:space="preserve">   Communication Disorder Pos</t>
  </si>
  <si>
    <t>Other:</t>
  </si>
  <si>
    <t xml:space="preserve">   UWCC - Assoc Dean</t>
  </si>
  <si>
    <t xml:space="preserve">   Maggie Murdock - BOC</t>
  </si>
  <si>
    <t xml:space="preserve">   EPSCOR #1</t>
  </si>
  <si>
    <t>ME &amp; CE</t>
  </si>
  <si>
    <t xml:space="preserve">   EPSCOR #2</t>
  </si>
  <si>
    <t>Chem &amp; Molec</t>
  </si>
  <si>
    <t xml:space="preserve">   EPSCOR #3</t>
  </si>
  <si>
    <t>EE &amp; Cosci</t>
  </si>
  <si>
    <t xml:space="preserve">   Assoc VP</t>
  </si>
  <si>
    <t xml:space="preserve">   SDVC Director</t>
  </si>
  <si>
    <t xml:space="preserve">   Dean UW Libraries</t>
  </si>
  <si>
    <t xml:space="preserve">   COBRE Position - (Flynn)</t>
  </si>
  <si>
    <t>Don't know amount</t>
  </si>
  <si>
    <t xml:space="preserve">   Haas Replacement</t>
  </si>
  <si>
    <t>Comments</t>
  </si>
  <si>
    <t>Arts &amp; Sciences</t>
  </si>
  <si>
    <t>AgEcon</t>
  </si>
  <si>
    <t>Amount</t>
  </si>
  <si>
    <t>Years</t>
  </si>
  <si>
    <t>Law Total</t>
  </si>
  <si>
    <t>Requested</t>
  </si>
  <si>
    <t>Priority</t>
  </si>
  <si>
    <t>Arts and Sciences</t>
  </si>
  <si>
    <t xml:space="preserve">   Total - Agriculture</t>
  </si>
  <si>
    <t xml:space="preserve">   Total - Arts &amp; Science</t>
  </si>
  <si>
    <t xml:space="preserve">   Total - Business</t>
  </si>
  <si>
    <t xml:space="preserve">   Total - Education</t>
  </si>
  <si>
    <t xml:space="preserve">   Total - Engineering</t>
  </si>
  <si>
    <t xml:space="preserve">   Total - Health Sciences</t>
  </si>
  <si>
    <t xml:space="preserve">   Total - Law</t>
  </si>
  <si>
    <t>Contingency authorized June 2000</t>
  </si>
  <si>
    <t>Exigency</t>
  </si>
  <si>
    <t>Exigency; had a search underway</t>
  </si>
  <si>
    <t>Pharm</t>
  </si>
  <si>
    <t>Captured</t>
  </si>
  <si>
    <t>Ren Resour</t>
  </si>
  <si>
    <t>K&amp;H</t>
  </si>
  <si>
    <t>Asst. Prof.</t>
  </si>
  <si>
    <t>Assoc. Prof.</t>
  </si>
  <si>
    <t>POSITION AUTHORIZATIONS</t>
  </si>
  <si>
    <t>Remarks</t>
  </si>
  <si>
    <t>OTHER COMMITMENTS</t>
  </si>
  <si>
    <t>Total authorizations</t>
  </si>
  <si>
    <t>FAILED SEARCHES CONTINUING</t>
  </si>
  <si>
    <t>TOTAL COMMITMENTS</t>
  </si>
  <si>
    <t>TOTAL POOL CONTRIBUTIONS</t>
  </si>
  <si>
    <t>COLLEGE OF ENGINEERING SUMMARY</t>
  </si>
  <si>
    <t>Asst. Lecturer</t>
  </si>
  <si>
    <t>COLLEGE OF ARTS AND SCIENCES SUMMARY</t>
  </si>
  <si>
    <t>COLLEGE OF BUSINESS SUMMARY</t>
  </si>
  <si>
    <t>Retiree recalls</t>
  </si>
  <si>
    <t>COLLEGE OF EDUCATION SUMMARY</t>
  </si>
  <si>
    <t>UPCOMING EXIGENCY?</t>
  </si>
  <si>
    <t>Ch&amp;PE</t>
  </si>
  <si>
    <t>Salary vacated by Gilcrease</t>
  </si>
  <si>
    <t>Replacement?</t>
  </si>
  <si>
    <t>COLLEGE OF HEALTH SCIENCES SUMMARY</t>
  </si>
  <si>
    <t>COBRE position.  State funds transferred in FY03</t>
  </si>
  <si>
    <t>Kin &amp; Hlth</t>
  </si>
  <si>
    <t>Salary vacated by Todorovich</t>
  </si>
  <si>
    <t>COLLEGE OF LAW SUMMARY</t>
  </si>
  <si>
    <t>Vacation</t>
  </si>
  <si>
    <t>BOC or</t>
  </si>
  <si>
    <t>BALANCE OF CONTRACT</t>
  </si>
  <si>
    <t>SUMMARY OF OTHER COMMITMENTS</t>
  </si>
  <si>
    <t>ITEM</t>
  </si>
  <si>
    <t>AMOUNT</t>
  </si>
  <si>
    <t>Captured pool</t>
  </si>
  <si>
    <t>Net BOC</t>
  </si>
  <si>
    <t>Total assets</t>
  </si>
  <si>
    <t>Prior Authorizations</t>
  </si>
  <si>
    <t>Exigency Authorizations</t>
  </si>
  <si>
    <t>Requests</t>
  </si>
  <si>
    <t>Retiree Recalls</t>
  </si>
  <si>
    <t>Other Allocations</t>
  </si>
  <si>
    <t>Outreach, SENR, and WyGISC Contributions</t>
  </si>
  <si>
    <t>SUMMARY OF NEW COMMITMENTS TO WyGISC</t>
  </si>
  <si>
    <t>GRAND TOTAL</t>
  </si>
  <si>
    <t>Old Base</t>
  </si>
  <si>
    <t>SALARY ADJUSTMENTS</t>
  </si>
  <si>
    <t>PRIOR AUTHORIZATIONS, 2000-2001</t>
  </si>
  <si>
    <t>Increases to lines</t>
  </si>
  <si>
    <t>Other commitments</t>
  </si>
  <si>
    <t>Total from Captured Pool</t>
  </si>
  <si>
    <t>Oncology (exigency request)</t>
  </si>
  <si>
    <t>Clinical Prof.</t>
  </si>
  <si>
    <t>Clinical training (exigency request)</t>
  </si>
  <si>
    <t>Cardiac rehab (exigency request)</t>
  </si>
  <si>
    <t>College Totals</t>
  </si>
  <si>
    <t>Asst. Prof</t>
  </si>
  <si>
    <t>Permanent allocation made in FY02</t>
  </si>
  <si>
    <t>Allocation Summary</t>
  </si>
  <si>
    <t>Total position authorizations</t>
  </si>
  <si>
    <t>Zoology-Physiology</t>
  </si>
  <si>
    <t>WyGISC-related position*</t>
  </si>
  <si>
    <t>Botany</t>
  </si>
  <si>
    <t>Counselor Ed</t>
  </si>
  <si>
    <t>Elem EC</t>
  </si>
  <si>
    <t>Chem+Petrol Engrg</t>
  </si>
  <si>
    <t>Health Sci Total</t>
  </si>
  <si>
    <t>"Phased" Retirement Arrangements</t>
  </si>
  <si>
    <t>Top off salary in existing line (exigency request).</t>
  </si>
  <si>
    <t>WyGISC-related position (exigency request)*</t>
  </si>
  <si>
    <t>Nursing</t>
  </si>
  <si>
    <t>Asst Lect</t>
  </si>
  <si>
    <t>Nel, Hans</t>
  </si>
  <si>
    <t>Vogelmann, Thomas</t>
  </si>
  <si>
    <t>Gloss, Steven</t>
  </si>
  <si>
    <t>Bayne, Mina</t>
  </si>
  <si>
    <t>Dahlen, Penny</t>
  </si>
  <si>
    <t>Todorovich, John</t>
  </si>
  <si>
    <t>Wiest, Elizabeth</t>
  </si>
  <si>
    <t>Steiner, Joseph</t>
  </si>
  <si>
    <t>Herner, Sheryl</t>
  </si>
  <si>
    <t>Accounts for permanent transfer in FY02, against FY03 request.</t>
  </si>
  <si>
    <t>Deans, Harry</t>
  </si>
  <si>
    <t>Prof</t>
  </si>
  <si>
    <t>Ryan, Maureen</t>
  </si>
  <si>
    <t>Squillace, Mark</t>
  </si>
  <si>
    <t>Assoc. Prof</t>
  </si>
  <si>
    <t>Elem &amp; Early Childhood</t>
  </si>
  <si>
    <t>Mathematics</t>
  </si>
  <si>
    <t>Asst/Assoc</t>
  </si>
  <si>
    <t>EPSCOR</t>
  </si>
  <si>
    <t>SUMMARY OF EXIGENCY REQUESTS AUTHORIZED DURING FY02</t>
  </si>
  <si>
    <t>Music</t>
  </si>
  <si>
    <t>Keeling, Kasandra</t>
  </si>
  <si>
    <t>Hanly, Brian</t>
  </si>
  <si>
    <t>Ag &amp; Appl Econ</t>
  </si>
  <si>
    <t>Seamon, Victor</t>
  </si>
  <si>
    <t>Mgt &amp; Mktg</t>
  </si>
  <si>
    <t>None</t>
  </si>
  <si>
    <t>FPRC-Casper</t>
  </si>
  <si>
    <t>Deiss, Frederick</t>
  </si>
  <si>
    <t>Allerheilegen, David</t>
  </si>
  <si>
    <t>Cassell, Jane</t>
  </si>
  <si>
    <t>Casper FPRC</t>
  </si>
  <si>
    <t>Clinical Asst. Prof.</t>
  </si>
  <si>
    <t>Cupal, Jerry</t>
  </si>
  <si>
    <t>Civil &amp; Arch Engrg</t>
  </si>
  <si>
    <t>Asst. or Assoc. Prof.</t>
  </si>
  <si>
    <t>Dept head.  College supplies stipend.</t>
  </si>
  <si>
    <t>EPSCoR advanced materials</t>
  </si>
  <si>
    <t>EPSCoR (75% in Renewable Resources)</t>
  </si>
  <si>
    <t>Asst./Assoc. Prof</t>
  </si>
  <si>
    <t>Criminal Justice</t>
  </si>
  <si>
    <t>Vila, Bryan</t>
  </si>
  <si>
    <t>Social Work</t>
  </si>
  <si>
    <t>Majewski, Virginia</t>
  </si>
  <si>
    <t>Assoc Prof</t>
  </si>
  <si>
    <t>Econ+Finance</t>
  </si>
  <si>
    <t>Diversity enhancement</t>
  </si>
  <si>
    <t>English + WomSt</t>
  </si>
  <si>
    <t>Educ Leadership</t>
  </si>
  <si>
    <t xml:space="preserve">Lowe, Jerry </t>
  </si>
  <si>
    <t>FPRC-Cheyenne</t>
  </si>
  <si>
    <t>Clement, Kathi</t>
  </si>
  <si>
    <t>Renewable Resources</t>
  </si>
  <si>
    <t>Kazmer, David</t>
  </si>
  <si>
    <t>History/Chicano Studies</t>
  </si>
  <si>
    <t>Rios-Bustamante, Antonio</t>
  </si>
  <si>
    <t>Direct/Prof</t>
  </si>
  <si>
    <t>**</t>
  </si>
  <si>
    <t>Eisenmann, Joey C.</t>
  </si>
  <si>
    <t>Reiser, Raoul</t>
  </si>
  <si>
    <t>Valentine, Deborah</t>
  </si>
  <si>
    <t>Whitney, Fay W.</t>
  </si>
  <si>
    <t>Plant Sciences</t>
  </si>
  <si>
    <t>Assoc. R.S.</t>
  </si>
  <si>
    <t>Tenure denial</t>
  </si>
  <si>
    <t>Plant Sci</t>
  </si>
  <si>
    <t>Asst. R.S.</t>
  </si>
  <si>
    <t>State portion (89%) of EPSCoR position (25% in Botany)</t>
  </si>
  <si>
    <t>Communication Disorders</t>
  </si>
  <si>
    <t>Baumgardner, Barbara</t>
  </si>
  <si>
    <t>Lecturer</t>
  </si>
  <si>
    <t>Thompson, Christy</t>
  </si>
  <si>
    <t>Briere, Stephan</t>
  </si>
  <si>
    <t>Gerking, Shelby</t>
  </si>
  <si>
    <t>Lucero, Margaret</t>
  </si>
  <si>
    <t>Bradley Saxton</t>
  </si>
  <si>
    <t>CommDis</t>
  </si>
  <si>
    <t>Assoc Lecturer</t>
  </si>
  <si>
    <t>Cross, Nanna</t>
  </si>
  <si>
    <t>Assoc Lect.</t>
  </si>
  <si>
    <t>EPSCoR</t>
  </si>
  <si>
    <t>Chemistry</t>
  </si>
  <si>
    <t>Robinson, Jill K.</t>
  </si>
  <si>
    <t>Asst Lecturer</t>
  </si>
  <si>
    <t>Mechanical Engr</t>
  </si>
  <si>
    <t>Dewey, Bruce</t>
  </si>
  <si>
    <t>Chem+Petrol Engr</t>
  </si>
  <si>
    <t>Elec+Comp Engr</t>
  </si>
  <si>
    <t>Statistics</t>
  </si>
  <si>
    <t>Cochran, Robert</t>
  </si>
  <si>
    <t>Maese, Peter</t>
  </si>
  <si>
    <t>Anthropology</t>
  </si>
  <si>
    <t>Philosophy</t>
  </si>
  <si>
    <t>Comm &amp; Journalism</t>
  </si>
  <si>
    <t>Political Science</t>
  </si>
  <si>
    <t>Trumpet</t>
  </si>
  <si>
    <t>Art</t>
  </si>
  <si>
    <t>Theatre &amp; Dance</t>
  </si>
  <si>
    <t>History</t>
  </si>
  <si>
    <t>Asst/Assoc Prof</t>
  </si>
  <si>
    <t>Assoc/Full Prof</t>
  </si>
  <si>
    <t>Education Studies</t>
  </si>
  <si>
    <t>Educational Leadership</t>
  </si>
  <si>
    <t>Educational Studies</t>
  </si>
  <si>
    <t>Open/Prof</t>
  </si>
  <si>
    <t>Adult Learning</t>
  </si>
  <si>
    <t>Electrical &amp; Computer</t>
  </si>
  <si>
    <t>Computer Science</t>
  </si>
  <si>
    <t>Mechanical</t>
  </si>
  <si>
    <t>Assoc Prof/ Prof</t>
  </si>
  <si>
    <t>Comm. Disorders</t>
  </si>
  <si>
    <t>Asst/ Assoc Prof</t>
  </si>
  <si>
    <t>Kinesiology &amp; Health</t>
  </si>
  <si>
    <t>Acad. Prof</t>
  </si>
  <si>
    <t>Sr. Lecturer</t>
  </si>
  <si>
    <t>Zooarcheology or geoarcheology</t>
  </si>
  <si>
    <t>Epistemology &amp; language</t>
  </si>
  <si>
    <t>Oral communication</t>
  </si>
  <si>
    <t>GIS &amp; remote sensing</t>
  </si>
  <si>
    <t>Wildlife biology</t>
  </si>
  <si>
    <t>Sculpture</t>
  </si>
  <si>
    <t>Acting</t>
  </si>
  <si>
    <t>Native American history</t>
  </si>
  <si>
    <t>Introductory and USP courses</t>
  </si>
  <si>
    <t>Asst/Assoc Lect.</t>
  </si>
  <si>
    <t>Joint position</t>
  </si>
  <si>
    <t>Theoretical physics</t>
  </si>
  <si>
    <t>Analytical chemistry</t>
  </si>
  <si>
    <t>Islamic studies</t>
  </si>
  <si>
    <t>Piano</t>
  </si>
  <si>
    <t>Econometrics</t>
  </si>
  <si>
    <t>Marketing</t>
  </si>
  <si>
    <t>Energy economics</t>
  </si>
  <si>
    <t>Math-science education</t>
  </si>
  <si>
    <t>Dir. Tchr. Ed., $12.5K from Outreach</t>
  </si>
  <si>
    <t>Amer. Indian Studies, 1/2 in A&amp;S</t>
  </si>
  <si>
    <t>Science education</t>
  </si>
  <si>
    <t>Instructional technology</t>
  </si>
  <si>
    <t>Controls &amp; robotics, EPSCoR #3</t>
  </si>
  <si>
    <t>Formal methods, EPSCoR #6</t>
  </si>
  <si>
    <t>Biomaterials, EPSCoR #1</t>
  </si>
  <si>
    <t>Comp. fluid dynamics, EPSCoR #2</t>
  </si>
  <si>
    <t>Digital design, EPSCoR #4</t>
  </si>
  <si>
    <t>Materials &amp; structures, EPSCoR #5</t>
  </si>
  <si>
    <t>Power engineering, EPSCoR #8</t>
  </si>
  <si>
    <t>MIS &amp; eBusiness, EPSCoR #7</t>
  </si>
  <si>
    <t>Dean of Nursing</t>
  </si>
  <si>
    <t>Director</t>
  </si>
  <si>
    <t>Family nurse practice</t>
  </si>
  <si>
    <t>Community health</t>
  </si>
  <si>
    <t>Maternal &amp; child health, OB</t>
  </si>
  <si>
    <t>Outreach, Casper</t>
  </si>
  <si>
    <t>Audiology &amp; director, ASL</t>
  </si>
  <si>
    <t>Biomechanics</t>
  </si>
  <si>
    <t>Exercise epidemiology</t>
  </si>
  <si>
    <t>Human anatomy</t>
  </si>
  <si>
    <t>BRIN, EPSCoR, WyGISC</t>
  </si>
  <si>
    <t>Practicum coordinator</t>
  </si>
  <si>
    <t>Clinical faculty, Cheyenne FPRC</t>
  </si>
  <si>
    <t>Clinical faculty, Casper FPRC</t>
  </si>
  <si>
    <t>Sign language</t>
  </si>
  <si>
    <t>Increase to existing line</t>
  </si>
  <si>
    <t>Clinical faculty, increase to line</t>
  </si>
  <si>
    <t>Pharmacy practice</t>
  </si>
  <si>
    <t>Pharmaceutical science</t>
  </si>
  <si>
    <t>Summer support for clinic directors</t>
  </si>
  <si>
    <t>Spousal support</t>
  </si>
  <si>
    <t>Summary of Position Requests, Spring 2002</t>
  </si>
  <si>
    <t>Increase to existing lines</t>
  </si>
  <si>
    <t>Civil &amp; Arch. E.</t>
  </si>
  <si>
    <t>Asst./Assoc Prof</t>
  </si>
  <si>
    <t>Civil &amp; Arch E.</t>
  </si>
  <si>
    <t>Dept Head</t>
  </si>
  <si>
    <t>Increase to replace Person Chair</t>
  </si>
  <si>
    <t>Chem &amp; Petrol E.</t>
  </si>
  <si>
    <t>Ren. Resour.</t>
  </si>
  <si>
    <t>Asst/Assoc. Prof</t>
  </si>
  <si>
    <t>WyGISC-related exigency</t>
  </si>
  <si>
    <t>State portion of EPSCoR position</t>
  </si>
  <si>
    <t>Asst/. Prof.</t>
  </si>
  <si>
    <t>State portion of tenure denial</t>
  </si>
  <si>
    <t>Plant Sci.</t>
  </si>
  <si>
    <t>Asst. RS</t>
  </si>
  <si>
    <t>State portion, pathology lab</t>
  </si>
  <si>
    <t>EPSCoR computation &amp; ENR</t>
  </si>
  <si>
    <t>EPSCoR, 75% in Ren. Resour.</t>
  </si>
  <si>
    <t>Diversity-related exigency</t>
  </si>
  <si>
    <t>Oncology exigency</t>
  </si>
  <si>
    <t>Clinical Asst Prof</t>
  </si>
  <si>
    <t>Clinical training exigency</t>
  </si>
  <si>
    <t>Casper FPRC program director</t>
  </si>
  <si>
    <t>Casper FPRC obstetrics exigency</t>
  </si>
  <si>
    <t>Cardiac rehab exigency</t>
  </si>
  <si>
    <t>Return of tenure denial</t>
  </si>
  <si>
    <t>Cheyenne FPRC</t>
  </si>
  <si>
    <t>Extended-term denial</t>
  </si>
  <si>
    <t>Whitson, Tom</t>
  </si>
  <si>
    <t>Ray, Bibek</t>
  </si>
  <si>
    <t>Powell, Jeff</t>
  </si>
  <si>
    <t>Weed science (89%)</t>
  </si>
  <si>
    <t>Agroecology (89%)</t>
  </si>
  <si>
    <t>Ag business &amp; marketing (89%)</t>
  </si>
  <si>
    <t>Water quality &amp; reclamation (89%)</t>
  </si>
  <si>
    <t>Food safety microbiology (89%)</t>
  </si>
  <si>
    <t>Shader, Leslie</t>
  </si>
  <si>
    <t>English</t>
  </si>
  <si>
    <t>Hosmer, Brian</t>
  </si>
  <si>
    <t>Howey, Richard</t>
  </si>
  <si>
    <t>Roe, Robert</t>
  </si>
  <si>
    <t>McGann, Anthony</t>
  </si>
  <si>
    <t>Herbel-Eisenmann, Beth</t>
  </si>
  <si>
    <t>ElemEC</t>
  </si>
  <si>
    <t>Schoeber, Joseph</t>
  </si>
  <si>
    <t>Jansa, Nancy</t>
  </si>
  <si>
    <t>Taheri-Kennedy, Beverly</t>
  </si>
  <si>
    <t>Stevens, Ann</t>
  </si>
  <si>
    <t>Profesor</t>
  </si>
  <si>
    <t>Constantinides, Chris</t>
  </si>
  <si>
    <t>Comp. Sci.</t>
  </si>
  <si>
    <t>Arnold, Mark</t>
  </si>
  <si>
    <t>Max. Salary</t>
  </si>
  <si>
    <t>Pool</t>
  </si>
  <si>
    <t>Contrib.</t>
  </si>
  <si>
    <t>Other funding</t>
  </si>
  <si>
    <t>Returned EPSCoR Chemistry position</t>
  </si>
  <si>
    <t>Total amount needed to cover $20K shortfall from CPM '01</t>
  </si>
  <si>
    <t>Total increases to lines</t>
  </si>
  <si>
    <t>*</t>
  </si>
  <si>
    <r>
      <t xml:space="preserve">These items account for the </t>
    </r>
    <r>
      <rPr>
        <i/>
        <sz val="10"/>
        <rFont val="Arial"/>
        <family val="2"/>
      </rPr>
      <t>permanent</t>
    </r>
    <r>
      <rPr>
        <sz val="10"/>
        <rFont val="Arial"/>
        <family val="0"/>
      </rPr>
      <t xml:space="preserve"> transfer made in FY02 to cover a </t>
    </r>
    <r>
      <rPr>
        <i/>
        <sz val="10"/>
        <rFont val="Arial"/>
        <family val="2"/>
      </rPr>
      <t xml:space="preserve">temporary </t>
    </r>
    <r>
      <rPr>
        <sz val="10"/>
        <rFont val="Arial"/>
        <family val="0"/>
      </rPr>
      <t>retiree recall.</t>
    </r>
  </si>
  <si>
    <t>Accounting for increases to lines is as follows:</t>
  </si>
  <si>
    <t>Additional amount needed to cover $20K shortfall after FY02 (memo, 27 Aug 01)</t>
  </si>
  <si>
    <t>Increase to line associated with tenure denial in RenResour (email, 28 May 02)</t>
  </si>
  <si>
    <t>See accounting below.</t>
  </si>
  <si>
    <t>Associate Dean</t>
  </si>
  <si>
    <t>Returned EPSCoR position</t>
  </si>
  <si>
    <t>Mann, Fred</t>
  </si>
  <si>
    <t>Temp Asst Lect</t>
  </si>
  <si>
    <t>Funded?</t>
  </si>
  <si>
    <t>CVCOBRE pharmacokinetics</t>
  </si>
  <si>
    <t>NOCOBRE</t>
  </si>
  <si>
    <t>Number of positions captured</t>
  </si>
  <si>
    <t>none</t>
  </si>
  <si>
    <t>COB</t>
  </si>
  <si>
    <t>Ed</t>
  </si>
  <si>
    <t>Eng</t>
  </si>
  <si>
    <t>HS</t>
  </si>
  <si>
    <t>Ag &amp; Applied Econ</t>
  </si>
  <si>
    <t>Renewable Resour.</t>
  </si>
  <si>
    <t>AIS &amp; Engl</t>
  </si>
  <si>
    <t>Physics &amp; Astron.</t>
  </si>
  <si>
    <t>Religious Studies</t>
  </si>
  <si>
    <t>Zoology &amp; Phys</t>
  </si>
  <si>
    <t>Mgt &amp; Marketing</t>
  </si>
  <si>
    <t>Econ. &amp; Finance</t>
  </si>
  <si>
    <t>Elem/Early Childhood.</t>
  </si>
  <si>
    <t>Elem/Early Childhood</t>
  </si>
  <si>
    <t>Med. Ed. &amp; Pub. Health</t>
  </si>
  <si>
    <t>Med. Ed. &amp; Pub Health</t>
  </si>
  <si>
    <t>Med. Ed. &amp; Publ Health</t>
  </si>
  <si>
    <t>Tally</t>
  </si>
  <si>
    <t>Running</t>
  </si>
  <si>
    <t>Agroecology.*  Dept. absorbs 3 credit/year commitment to SENR</t>
  </si>
  <si>
    <t>Accounts for permanent transfer made in FY02.  See below.</t>
  </si>
  <si>
    <t>To be determined**</t>
  </si>
  <si>
    <t>Increases to lines***</t>
  </si>
  <si>
    <t>Retiree recall**</t>
  </si>
  <si>
    <t>***</t>
  </si>
  <si>
    <t>15 credits/year teaching</t>
  </si>
  <si>
    <t>Comm. &amp; Jour.</t>
  </si>
  <si>
    <t>Pol. Sci.</t>
  </si>
  <si>
    <t>15 credit/year teaching</t>
  </si>
  <si>
    <t>Zoology-Phys.</t>
  </si>
  <si>
    <t>Dept. absorbs 3 credit/year commitment to SENR</t>
  </si>
  <si>
    <t>Crim Justice</t>
  </si>
  <si>
    <t>Asst Prof.</t>
  </si>
  <si>
    <t>Reappointment denial</t>
  </si>
  <si>
    <t>Ed Studies</t>
  </si>
  <si>
    <t>Outreach will contribute another $12.5K</t>
  </si>
  <si>
    <t>Elec &amp; Comp. Engrg</t>
  </si>
  <si>
    <t>CoSci</t>
  </si>
  <si>
    <t>Med Ed &amp; Pub Hlth</t>
  </si>
  <si>
    <t>Prof.</t>
  </si>
  <si>
    <t>Outreach in Casper</t>
  </si>
  <si>
    <t>OS</t>
  </si>
  <si>
    <t>Increase to line, Outreach Dean's office</t>
  </si>
  <si>
    <t>Total other commitments</t>
  </si>
  <si>
    <t>Outreach associate lecturer</t>
  </si>
  <si>
    <t>Pathology lab exigency request*</t>
  </si>
  <si>
    <t>WyGISC-related teaching &amp; research.  EPSCoR</t>
  </si>
  <si>
    <t>Open</t>
  </si>
  <si>
    <t>Diversity incentive: bridge-fund $46,800 in FY03</t>
  </si>
  <si>
    <t>Exigency:  diversity incentive</t>
  </si>
  <si>
    <t>Zoo-Phys</t>
  </si>
  <si>
    <t>EdStud</t>
  </si>
  <si>
    <t>HealthSci</t>
  </si>
  <si>
    <t>SoWk</t>
  </si>
  <si>
    <t>Public admin, $12.5K from Outreach</t>
  </si>
  <si>
    <t>15 credits/year teaching, $12.5K more from Outreach</t>
  </si>
  <si>
    <t>PolSci</t>
  </si>
  <si>
    <t>funded by Outreach</t>
  </si>
  <si>
    <t>Obstetrics ($10K more than requested)</t>
  </si>
  <si>
    <t>Program director ($10K more than requested)</t>
  </si>
  <si>
    <t>All new allocations are contingent on receipt of final paperwork for captured positions.</t>
  </si>
  <si>
    <t>FAILED SEARCHES CONTINUING:</t>
  </si>
  <si>
    <t>Dean of Nursing (AY base = $132K / 1.2  = $110K)*</t>
  </si>
  <si>
    <t>*NOTE ON DEAN OF NURSING:</t>
  </si>
  <si>
    <t>$110K allocation assumes that CHS will retain increment needed to fiscalize Dean of Nursing.</t>
  </si>
  <si>
    <t>CPM CAPTURED POOL, FY 2002</t>
  </si>
  <si>
    <t>FY03 BOC</t>
  </si>
  <si>
    <t>Stamland, Tommy</t>
  </si>
  <si>
    <t>Mech Engrg</t>
  </si>
  <si>
    <t>EPSCoR computational fluids, funded at $99K in FY04</t>
  </si>
  <si>
    <t>Brito, Silvester</t>
  </si>
  <si>
    <t>Gilcrease, Patrick</t>
  </si>
  <si>
    <t>Correction for CPM FY02 overcommitment</t>
  </si>
  <si>
    <t>Funded</t>
  </si>
  <si>
    <t>Animal Sci</t>
  </si>
  <si>
    <t>Automatic return: tenure denial</t>
  </si>
  <si>
    <t>Math. or Sci. Ed.</t>
  </si>
  <si>
    <t>Ed Leadership</t>
  </si>
  <si>
    <t>EPSCoR biomaterials</t>
  </si>
  <si>
    <t>Assoc. Prof. or Prof.</t>
  </si>
  <si>
    <t>Director, ASL</t>
  </si>
  <si>
    <t>Includes FY03 raises where applicable.</t>
  </si>
  <si>
    <t>Correction for FY02 overcommitment</t>
  </si>
  <si>
    <t>Total commitments</t>
  </si>
  <si>
    <t>Other units (including Outreach and net BOC)</t>
  </si>
  <si>
    <t>Cross-check:</t>
  </si>
  <si>
    <t>Funding for position authorizations</t>
  </si>
  <si>
    <t>$18,064 originally requested</t>
  </si>
  <si>
    <t>Ag, Ed, Outreach</t>
  </si>
  <si>
    <t>Endowed funding, EPSCoR return</t>
  </si>
  <si>
    <t>FY03 BOC - FY02 BOC</t>
  </si>
  <si>
    <t>3 new EPSCoR positions, 2 funded this year.</t>
  </si>
  <si>
    <t>Notes</t>
  </si>
  <si>
    <t>Positions</t>
  </si>
  <si>
    <t>ASSETS</t>
  </si>
  <si>
    <t>COMMITMENTS BY COLLEGE</t>
  </si>
  <si>
    <t>BALANCE REMAINING</t>
  </si>
  <si>
    <t>COMMITMENTS BY CATEGORY</t>
  </si>
  <si>
    <t>Outreach School contribution</t>
  </si>
  <si>
    <t>Contributions from Outreach School</t>
  </si>
  <si>
    <t>Includes $12.5K from Outreach.</t>
  </si>
  <si>
    <t>A&amp;S, Ed</t>
  </si>
  <si>
    <t>Total other salary commitments</t>
  </si>
  <si>
    <t>Other Total</t>
  </si>
  <si>
    <t>Funds freed in Ag and re-used</t>
  </si>
  <si>
    <t>State-funded portion (89%) only.  (Includes FY03 raises where applicable.)</t>
  </si>
  <si>
    <t>15 credits/year teaching.</t>
  </si>
  <si>
    <t>Civil &amp; Arch. Engrg.</t>
  </si>
  <si>
    <t>EPSCoR structures-and-materials position.</t>
  </si>
  <si>
    <t>100%:</t>
  </si>
  <si>
    <t>89% = state-funded portion</t>
  </si>
  <si>
    <t>Excluding administrative stipend</t>
  </si>
  <si>
    <t>Based on FY03 salary.  Ag covers $17,322 BOC</t>
  </si>
  <si>
    <t>Based on FY03 salary.  Ag covers $19,1221 BOC</t>
  </si>
  <si>
    <t>BOC for replacement</t>
  </si>
  <si>
    <t>Excluding administraviestipend</t>
  </si>
  <si>
    <t>Last</t>
  </si>
  <si>
    <t>Day</t>
  </si>
  <si>
    <t>Type</t>
  </si>
  <si>
    <t>AY</t>
  </si>
  <si>
    <t>FY</t>
  </si>
  <si>
    <t>FY 2003</t>
  </si>
  <si>
    <r>
      <t xml:space="preserve">Prior allocations are in </t>
    </r>
    <r>
      <rPr>
        <i/>
        <sz val="10"/>
        <rFont val="Arial"/>
        <family val="2"/>
      </rPr>
      <t xml:space="preserve">italics; </t>
    </r>
    <r>
      <rPr>
        <sz val="10"/>
        <rFont val="Arial"/>
        <family val="2"/>
      </rPr>
      <t>new requests are numbered</t>
    </r>
  </si>
  <si>
    <t>ALLOCATION SUMMARY</t>
  </si>
  <si>
    <t>Absorbed in raise pool</t>
  </si>
  <si>
    <t>Increase to line in AnSci (memo, 16 Oct 01)</t>
  </si>
  <si>
    <t>From vacated AnSci line, toward $20K shortfall in AnSci headship from CPM '01 (memo, 27 Aug 01)</t>
  </si>
  <si>
    <t>Return of reappointment denial</t>
  </si>
  <si>
    <t>Return for tenure denial (100% of captured salary)</t>
  </si>
  <si>
    <t>Weed Science*  Ag covers incumbent's BOC.</t>
  </si>
  <si>
    <t>Food safety &amp; Microbiology.*  Ag covers incumbent's BOC.</t>
  </si>
  <si>
    <t>State-funded portion (89%).  College absorbs BOC for employees departing in FY03.</t>
  </si>
  <si>
    <t>15 credits/year teaching.  Contingent on captured pool as listed.</t>
  </si>
  <si>
    <t>Exigency, biochemical engineering</t>
  </si>
  <si>
    <t>Appointment to Person Chair frees AY salary</t>
  </si>
  <si>
    <t>Includes $5,848 BOC for LWOP replacement</t>
  </si>
  <si>
    <t>Current dean's AY base is $83,800; the FY increment is $100,560 - $$83,800 = $16,760.</t>
  </si>
  <si>
    <t>CHS will retain the $16,760 when current dean retires, to apply toward the new dean's FY increment.</t>
  </si>
  <si>
    <t>FY02 BOC carried forward</t>
  </si>
  <si>
    <t>Biochemical engineering</t>
  </si>
  <si>
    <t>*State-funded portion of salary</t>
  </si>
  <si>
    <t>Funds applied to mandatory 10% promotion raises</t>
  </si>
  <si>
    <t>New Rank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</si>
</sst>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0.0%"/>
    <numFmt numFmtId="171" formatCode="_(* #,##0.0_);_(* \(#,##0.0\);_(* &quot;-&quot;?_);_(@_)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41" fontId="0" fillId="0" borderId="0" xfId="17" applyNumberFormat="1" applyAlignment="1">
      <alignment/>
    </xf>
    <xf numFmtId="165" fontId="0" fillId="0" borderId="0" xfId="17" applyNumberFormat="1" applyAlignment="1">
      <alignment/>
    </xf>
    <xf numFmtId="0" fontId="1" fillId="0" borderId="0" xfId="0" applyFont="1" applyAlignment="1">
      <alignment/>
    </xf>
    <xf numFmtId="43" fontId="0" fillId="0" borderId="0" xfId="17" applyNumberFormat="1" applyFont="1" applyFill="1" applyBorder="1" applyAlignment="1">
      <alignment/>
    </xf>
    <xf numFmtId="165" fontId="0" fillId="0" borderId="0" xfId="17" applyNumberFormat="1" applyFont="1" applyFill="1" applyBorder="1" applyAlignment="1">
      <alignment/>
    </xf>
    <xf numFmtId="165" fontId="0" fillId="0" borderId="0" xfId="17" applyNumberFormat="1" applyFont="1" applyFill="1" applyBorder="1" applyAlignment="1">
      <alignment/>
    </xf>
    <xf numFmtId="165" fontId="1" fillId="0" borderId="0" xfId="17" applyNumberFormat="1" applyFont="1" applyAlignment="1">
      <alignment/>
    </xf>
    <xf numFmtId="165" fontId="1" fillId="0" borderId="0" xfId="17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" fontId="4" fillId="0" borderId="0" xfId="0" applyNumberFormat="1" applyFont="1" applyAlignment="1">
      <alignment horizontal="centerContinuous" vertical="center"/>
    </xf>
    <xf numFmtId="42" fontId="4" fillId="0" borderId="0" xfId="0" applyNumberFormat="1" applyFont="1" applyBorder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42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42" fontId="3" fillId="0" borderId="1" xfId="0" applyNumberFormat="1" applyFont="1" applyBorder="1" applyAlignment="1">
      <alignment/>
    </xf>
    <xf numFmtId="42" fontId="6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2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2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Continuous"/>
    </xf>
    <xf numFmtId="42" fontId="8" fillId="0" borderId="0" xfId="0" applyNumberFormat="1" applyFont="1" applyBorder="1" applyAlignment="1">
      <alignment horizontal="centerContinuous"/>
    </xf>
    <xf numFmtId="4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42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2" fontId="8" fillId="0" borderId="0" xfId="0" applyNumberFormat="1" applyFont="1" applyBorder="1" applyAlignment="1">
      <alignment horizontal="left"/>
    </xf>
    <xf numFmtId="14" fontId="8" fillId="0" borderId="0" xfId="0" applyNumberFormat="1" applyFont="1" applyBorder="1" applyAlignment="1">
      <alignment horizontal="left"/>
    </xf>
    <xf numFmtId="14" fontId="8" fillId="0" borderId="2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42" fontId="8" fillId="0" borderId="1" xfId="0" applyNumberFormat="1" applyFont="1" applyBorder="1" applyAlignment="1">
      <alignment/>
    </xf>
    <xf numFmtId="0" fontId="8" fillId="0" borderId="0" xfId="0" applyFont="1" applyAlignment="1">
      <alignment horizontal="left"/>
    </xf>
    <xf numFmtId="42" fontId="8" fillId="0" borderId="0" xfId="0" applyNumberFormat="1" applyFont="1" applyAlignment="1">
      <alignment horizontal="left"/>
    </xf>
    <xf numFmtId="165" fontId="0" fillId="0" borderId="0" xfId="17" applyNumberFormat="1" applyFont="1" applyAlignment="1">
      <alignment/>
    </xf>
    <xf numFmtId="165" fontId="3" fillId="0" borderId="1" xfId="17" applyNumberFormat="1" applyFont="1" applyBorder="1" applyAlignment="1">
      <alignment/>
    </xf>
    <xf numFmtId="0" fontId="0" fillId="0" borderId="0" xfId="0" applyAlignment="1">
      <alignment horizontal="center"/>
    </xf>
    <xf numFmtId="165" fontId="3" fillId="0" borderId="0" xfId="17" applyNumberFormat="1" applyFont="1" applyAlignment="1">
      <alignment/>
    </xf>
    <xf numFmtId="14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42" fontId="6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3" fillId="0" borderId="0" xfId="17" applyNumberFormat="1" applyFont="1" applyAlignment="1">
      <alignment horizontal="centerContinuous"/>
    </xf>
    <xf numFmtId="165" fontId="0" fillId="0" borderId="0" xfId="17" applyNumberForma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41" fontId="9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14" fontId="11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"/>
    </xf>
    <xf numFmtId="41" fontId="10" fillId="0" borderId="0" xfId="0" applyNumberFormat="1" applyFont="1" applyAlignment="1">
      <alignment/>
    </xf>
    <xf numFmtId="165" fontId="0" fillId="0" borderId="0" xfId="17" applyNumberFormat="1" applyAlignment="1">
      <alignment horizontal="right"/>
    </xf>
    <xf numFmtId="165" fontId="0" fillId="0" borderId="0" xfId="17" applyNumberFormat="1" applyFont="1" applyAlignment="1">
      <alignment horizontal="right"/>
    </xf>
    <xf numFmtId="0" fontId="0" fillId="0" borderId="0" xfId="0" applyAlignment="1">
      <alignment horizontal="centerContinuous"/>
    </xf>
    <xf numFmtId="165" fontId="1" fillId="0" borderId="0" xfId="17" applyNumberFormat="1" applyFont="1" applyAlignment="1">
      <alignment horizontal="center"/>
    </xf>
    <xf numFmtId="165" fontId="1" fillId="0" borderId="0" xfId="17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5" fontId="1" fillId="0" borderId="0" xfId="17" applyNumberFormat="1" applyFont="1" applyBorder="1" applyAlignment="1">
      <alignment/>
    </xf>
    <xf numFmtId="0" fontId="0" fillId="0" borderId="0" xfId="0" applyBorder="1" applyAlignment="1">
      <alignment/>
    </xf>
    <xf numFmtId="42" fontId="6" fillId="0" borderId="0" xfId="0" applyNumberFormat="1" applyFont="1" applyAlignment="1">
      <alignment/>
    </xf>
    <xf numFmtId="41" fontId="0" fillId="0" borderId="0" xfId="17" applyNumberFormat="1" applyFont="1" applyFill="1" applyBorder="1" applyAlignment="1">
      <alignment horizontal="left"/>
    </xf>
    <xf numFmtId="165" fontId="1" fillId="0" borderId="0" xfId="17" applyNumberFormat="1" applyFont="1" applyFill="1" applyBorder="1" applyAlignment="1">
      <alignment/>
    </xf>
    <xf numFmtId="165" fontId="0" fillId="0" borderId="0" xfId="17" applyNumberFormat="1" applyFont="1" applyAlignment="1">
      <alignment/>
    </xf>
    <xf numFmtId="165" fontId="0" fillId="0" borderId="0" xfId="17" applyNumberFormat="1" applyBorder="1" applyAlignment="1">
      <alignment/>
    </xf>
    <xf numFmtId="165" fontId="1" fillId="0" borderId="0" xfId="17" applyNumberFormat="1" applyFont="1" applyBorder="1" applyAlignment="1">
      <alignment horizontal="right"/>
    </xf>
    <xf numFmtId="165" fontId="0" fillId="0" borderId="0" xfId="17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17" applyNumberFormat="1" applyFont="1" applyBorder="1" applyAlignment="1">
      <alignment/>
    </xf>
    <xf numFmtId="165" fontId="0" fillId="0" borderId="0" xfId="17" applyNumberFormat="1" applyBorder="1" applyAlignment="1">
      <alignment horizontal="right"/>
    </xf>
    <xf numFmtId="165" fontId="1" fillId="0" borderId="0" xfId="17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1" fontId="1" fillId="0" borderId="0" xfId="17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41" fontId="0" fillId="0" borderId="0" xfId="17" applyNumberFormat="1" applyAlignment="1">
      <alignment/>
    </xf>
    <xf numFmtId="41" fontId="1" fillId="0" borderId="0" xfId="17" applyNumberFormat="1" applyFont="1" applyBorder="1" applyAlignment="1">
      <alignment/>
    </xf>
    <xf numFmtId="41" fontId="0" fillId="0" borderId="0" xfId="17" applyNumberFormat="1" applyBorder="1" applyAlignment="1">
      <alignment/>
    </xf>
    <xf numFmtId="41" fontId="1" fillId="0" borderId="0" xfId="17" applyNumberFormat="1" applyFont="1" applyBorder="1" applyAlignment="1">
      <alignment/>
    </xf>
    <xf numFmtId="41" fontId="0" fillId="0" borderId="0" xfId="17" applyNumberFormat="1" applyBorder="1" applyAlignment="1">
      <alignment/>
    </xf>
    <xf numFmtId="0" fontId="0" fillId="0" borderId="0" xfId="17" applyNumberFormat="1" applyFont="1" applyFill="1" applyBorder="1" applyAlignment="1">
      <alignment/>
    </xf>
    <xf numFmtId="165" fontId="0" fillId="0" borderId="0" xfId="17" applyNumberFormat="1" applyFont="1" applyAlignment="1" quotePrefix="1">
      <alignment/>
    </xf>
    <xf numFmtId="165" fontId="1" fillId="0" borderId="0" xfId="17" applyNumberFormat="1" applyFont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165" fontId="0" fillId="0" borderId="3" xfId="17" applyNumberFormat="1" applyBorder="1" applyAlignment="1">
      <alignment/>
    </xf>
    <xf numFmtId="165" fontId="1" fillId="0" borderId="3" xfId="17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3" xfId="0" applyFont="1" applyBorder="1" applyAlignment="1">
      <alignment horizontal="right"/>
    </xf>
    <xf numFmtId="165" fontId="0" fillId="0" borderId="3" xfId="17" applyNumberFormat="1" applyBorder="1" applyAlignment="1">
      <alignment horizontal="right"/>
    </xf>
    <xf numFmtId="165" fontId="1" fillId="0" borderId="3" xfId="17" applyNumberFormat="1" applyFont="1" applyBorder="1" applyAlignment="1">
      <alignment horizontal="right"/>
    </xf>
    <xf numFmtId="165" fontId="0" fillId="0" borderId="0" xfId="17" applyNumberFormat="1" applyFont="1" applyAlignment="1">
      <alignment horizontal="right"/>
    </xf>
    <xf numFmtId="14" fontId="8" fillId="0" borderId="4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42" fontId="8" fillId="0" borderId="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2" fontId="2" fillId="0" borderId="0" xfId="0" applyNumberFormat="1" applyFont="1" applyBorder="1" applyAlignment="1">
      <alignment/>
    </xf>
    <xf numFmtId="14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 quotePrefix="1">
      <alignment horizontal="centerContinuous"/>
    </xf>
    <xf numFmtId="42" fontId="6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42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42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42" fontId="12" fillId="0" borderId="0" xfId="0" applyNumberFormat="1" applyFont="1" applyBorder="1" applyAlignment="1">
      <alignment horizontal="center"/>
    </xf>
    <xf numFmtId="42" fontId="1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42" fontId="6" fillId="0" borderId="0" xfId="0" applyNumberFormat="1" applyFont="1" applyBorder="1" applyAlignment="1">
      <alignment/>
    </xf>
    <xf numFmtId="165" fontId="0" fillId="0" borderId="0" xfId="17" applyNumberFormat="1" applyFont="1" applyBorder="1" applyAlignment="1">
      <alignment horizontal="right"/>
    </xf>
    <xf numFmtId="165" fontId="0" fillId="0" borderId="0" xfId="17" applyNumberFormat="1" applyFont="1" applyBorder="1" applyAlignment="1">
      <alignment horizontal="left"/>
    </xf>
    <xf numFmtId="42" fontId="3" fillId="0" borderId="0" xfId="0" applyNumberFormat="1" applyFont="1" applyAlignment="1">
      <alignment/>
    </xf>
    <xf numFmtId="41" fontId="0" fillId="0" borderId="0" xfId="17" applyNumberFormat="1" applyFont="1" applyAlignment="1">
      <alignment/>
    </xf>
    <xf numFmtId="43" fontId="1" fillId="0" borderId="0" xfId="0" applyNumberFormat="1" applyFont="1" applyAlignment="1">
      <alignment/>
    </xf>
    <xf numFmtId="42" fontId="6" fillId="0" borderId="0" xfId="0" applyNumberFormat="1" applyFont="1" applyBorder="1" applyAlignment="1">
      <alignment horizontal="center"/>
    </xf>
    <xf numFmtId="0" fontId="0" fillId="2" borderId="1" xfId="0" applyFill="1" applyBorder="1" applyAlignment="1">
      <alignment/>
    </xf>
    <xf numFmtId="165" fontId="0" fillId="2" borderId="1" xfId="17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16" fillId="0" borderId="1" xfId="0" applyFont="1" applyFill="1" applyBorder="1" applyAlignment="1">
      <alignment/>
    </xf>
    <xf numFmtId="165" fontId="16" fillId="0" borderId="1" xfId="17" applyNumberFormat="1" applyFont="1" applyFill="1" applyBorder="1" applyAlignment="1">
      <alignment/>
    </xf>
    <xf numFmtId="0" fontId="1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165" fontId="0" fillId="0" borderId="1" xfId="17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165" fontId="0" fillId="2" borderId="6" xfId="0" applyNumberFormat="1" applyFill="1" applyBorder="1" applyAlignment="1">
      <alignment/>
    </xf>
    <xf numFmtId="165" fontId="16" fillId="0" borderId="6" xfId="0" applyNumberFormat="1" applyFont="1" applyFill="1" applyBorder="1" applyAlignment="1">
      <alignment/>
    </xf>
    <xf numFmtId="165" fontId="0" fillId="0" borderId="6" xfId="0" applyNumberFormat="1" applyFill="1" applyBorder="1" applyAlignment="1">
      <alignment/>
    </xf>
    <xf numFmtId="165" fontId="0" fillId="0" borderId="0" xfId="17" applyNumberFormat="1" applyAlignment="1">
      <alignment horizontal="left"/>
    </xf>
    <xf numFmtId="165" fontId="0" fillId="2" borderId="1" xfId="17" applyNumberFormat="1" applyFont="1" applyFill="1" applyBorder="1" applyAlignment="1">
      <alignment/>
    </xf>
    <xf numFmtId="165" fontId="1" fillId="0" borderId="0" xfId="17" applyNumberFormat="1" applyFont="1" applyAlignment="1">
      <alignment horizontal="left"/>
    </xf>
    <xf numFmtId="165" fontId="0" fillId="0" borderId="0" xfId="17" applyNumberFormat="1" applyFont="1" applyAlignment="1">
      <alignment horizontal="left"/>
    </xf>
    <xf numFmtId="165" fontId="0" fillId="0" borderId="3" xfId="17" applyNumberFormat="1" applyBorder="1" applyAlignment="1">
      <alignment horizontal="left"/>
    </xf>
    <xf numFmtId="165" fontId="0" fillId="0" borderId="7" xfId="17" applyNumberFormat="1" applyBorder="1" applyAlignment="1">
      <alignment horizontal="left"/>
    </xf>
    <xf numFmtId="165" fontId="0" fillId="2" borderId="6" xfId="0" applyNumberFormat="1" applyFont="1" applyFill="1" applyBorder="1" applyAlignment="1">
      <alignment/>
    </xf>
    <xf numFmtId="165" fontId="0" fillId="0" borderId="6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165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165" fontId="0" fillId="0" borderId="11" xfId="0" applyNumberFormat="1" applyFill="1" applyBorder="1" applyAlignment="1">
      <alignment/>
    </xf>
    <xf numFmtId="165" fontId="0" fillId="0" borderId="0" xfId="17" applyNumberFormat="1" applyFont="1" applyBorder="1" applyAlignment="1">
      <alignment/>
    </xf>
    <xf numFmtId="0" fontId="0" fillId="0" borderId="12" xfId="0" applyFill="1" applyBorder="1" applyAlignment="1">
      <alignment/>
    </xf>
    <xf numFmtId="165" fontId="1" fillId="0" borderId="13" xfId="17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5" fontId="1" fillId="0" borderId="7" xfId="17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65" fontId="0" fillId="0" borderId="17" xfId="17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1" fillId="0" borderId="1" xfId="0" applyFont="1" applyFill="1" applyBorder="1" applyAlignment="1">
      <alignment/>
    </xf>
    <xf numFmtId="165" fontId="1" fillId="0" borderId="1" xfId="17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42" fontId="1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165" fontId="0" fillId="0" borderId="0" xfId="17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5" fontId="1" fillId="0" borderId="0" xfId="17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 horizontal="center"/>
    </xf>
    <xf numFmtId="165" fontId="1" fillId="0" borderId="13" xfId="17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2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1" fillId="0" borderId="0" xfId="0" applyNumberFormat="1" applyFont="1" applyAlignment="1">
      <alignment/>
    </xf>
    <xf numFmtId="165" fontId="0" fillId="0" borderId="0" xfId="17" applyNumberFormat="1" applyFont="1" applyAlignment="1">
      <alignment horizontal="left" indent="1"/>
    </xf>
    <xf numFmtId="0" fontId="1" fillId="2" borderId="10" xfId="0" applyFont="1" applyFill="1" applyBorder="1" applyAlignment="1">
      <alignment/>
    </xf>
    <xf numFmtId="0" fontId="0" fillId="2" borderId="10" xfId="0" applyFill="1" applyBorder="1" applyAlignment="1">
      <alignment horizontal="center"/>
    </xf>
    <xf numFmtId="165" fontId="0" fillId="2" borderId="10" xfId="0" applyNumberForma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17" applyNumberFormat="1" applyFont="1" applyBorder="1" applyAlignment="1">
      <alignment/>
    </xf>
    <xf numFmtId="2" fontId="0" fillId="0" borderId="0" xfId="0" applyNumberFormat="1" applyAlignment="1">
      <alignment horizontal="right"/>
    </xf>
    <xf numFmtId="0" fontId="0" fillId="2" borderId="0" xfId="0" applyFill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/>
    </xf>
    <xf numFmtId="14" fontId="3" fillId="0" borderId="22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42" fontId="6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6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42" fontId="3" fillId="0" borderId="5" xfId="0" applyNumberFormat="1" applyFont="1" applyBorder="1" applyAlignment="1">
      <alignment horizontal="center"/>
    </xf>
    <xf numFmtId="165" fontId="3" fillId="0" borderId="5" xfId="17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6" fillId="0" borderId="29" xfId="0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42" fontId="6" fillId="0" borderId="29" xfId="0" applyNumberFormat="1" applyFont="1" applyBorder="1" applyAlignment="1">
      <alignment horizontal="center"/>
    </xf>
    <xf numFmtId="165" fontId="6" fillId="0" borderId="29" xfId="17" applyNumberFormat="1" applyFont="1" applyBorder="1" applyAlignment="1">
      <alignment/>
    </xf>
    <xf numFmtId="0" fontId="3" fillId="0" borderId="30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1" fontId="6" fillId="0" borderId="32" xfId="0" applyNumberFormat="1" applyFont="1" applyBorder="1" applyAlignment="1">
      <alignment horizontal="center"/>
    </xf>
    <xf numFmtId="42" fontId="6" fillId="0" borderId="32" xfId="0" applyNumberFormat="1" applyFont="1" applyBorder="1" applyAlignment="1">
      <alignment horizontal="center"/>
    </xf>
    <xf numFmtId="165" fontId="6" fillId="0" borderId="32" xfId="17" applyNumberFormat="1" applyFont="1" applyBorder="1" applyAlignment="1">
      <alignment horizontal="center"/>
    </xf>
    <xf numFmtId="165" fontId="6" fillId="0" borderId="33" xfId="17" applyNumberFormat="1" applyFont="1" applyBorder="1" applyAlignment="1">
      <alignment horizontal="center"/>
    </xf>
    <xf numFmtId="37" fontId="1" fillId="0" borderId="0" xfId="17" applyNumberFormat="1" applyFont="1" applyAlignment="1">
      <alignment/>
    </xf>
    <xf numFmtId="165" fontId="6" fillId="0" borderId="1" xfId="17" applyNumberFormat="1" applyFont="1" applyBorder="1" applyAlignment="1">
      <alignment/>
    </xf>
    <xf numFmtId="165" fontId="0" fillId="0" borderId="1" xfId="17" applyNumberFormat="1" applyFont="1" applyFill="1" applyBorder="1" applyAlignment="1">
      <alignment/>
    </xf>
    <xf numFmtId="165" fontId="0" fillId="2" borderId="11" xfId="0" applyNumberFormat="1" applyFill="1" applyBorder="1" applyAlignment="1">
      <alignment/>
    </xf>
    <xf numFmtId="165" fontId="16" fillId="2" borderId="6" xfId="0" applyNumberFormat="1" applyFont="1" applyFill="1" applyBorder="1" applyAlignment="1">
      <alignment/>
    </xf>
    <xf numFmtId="170" fontId="0" fillId="0" borderId="0" xfId="17" applyNumberFormat="1" applyAlignment="1">
      <alignment horizontal="left"/>
    </xf>
    <xf numFmtId="170" fontId="0" fillId="0" borderId="0" xfId="17" applyNumberFormat="1" applyFont="1" applyAlignment="1">
      <alignment horizontal="left"/>
    </xf>
    <xf numFmtId="165" fontId="1" fillId="0" borderId="7" xfId="17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165" fontId="16" fillId="0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4" fillId="0" borderId="0" xfId="17" applyNumberFormat="1" applyFont="1" applyAlignment="1">
      <alignment/>
    </xf>
    <xf numFmtId="14" fontId="3" fillId="0" borderId="1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42" fontId="3" fillId="0" borderId="35" xfId="0" applyNumberFormat="1" applyFont="1" applyBorder="1" applyAlignment="1">
      <alignment/>
    </xf>
    <xf numFmtId="42" fontId="6" fillId="0" borderId="36" xfId="0" applyNumberFormat="1" applyFont="1" applyBorder="1" applyAlignment="1">
      <alignment/>
    </xf>
    <xf numFmtId="0" fontId="5" fillId="0" borderId="0" xfId="0" applyFont="1" applyAlignment="1">
      <alignment/>
    </xf>
    <xf numFmtId="17" fontId="5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165" fontId="4" fillId="0" borderId="0" xfId="17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165" fontId="0" fillId="0" borderId="0" xfId="17" applyNumberFormat="1" applyFont="1" applyAlignment="1">
      <alignment horizontal="centerContinuous"/>
    </xf>
    <xf numFmtId="165" fontId="8" fillId="0" borderId="0" xfId="17" applyNumberFormat="1" applyFont="1" applyBorder="1" applyAlignment="1">
      <alignment/>
    </xf>
    <xf numFmtId="0" fontId="2" fillId="0" borderId="0" xfId="0" applyFont="1" applyBorder="1" applyAlignment="1">
      <alignment/>
    </xf>
    <xf numFmtId="41" fontId="2" fillId="0" borderId="0" xfId="17" applyNumberFormat="1" applyFont="1" applyBorder="1" applyAlignment="1">
      <alignment/>
    </xf>
    <xf numFmtId="41" fontId="2" fillId="0" borderId="0" xfId="17" applyNumberFormat="1" applyFont="1" applyBorder="1" applyAlignment="1">
      <alignment/>
    </xf>
    <xf numFmtId="165" fontId="2" fillId="0" borderId="0" xfId="17" applyNumberFormat="1" applyFont="1" applyAlignment="1">
      <alignment/>
    </xf>
    <xf numFmtId="165" fontId="0" fillId="0" borderId="0" xfId="17" applyNumberFormat="1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8" xfId="0" applyFont="1" applyBorder="1" applyAlignment="1">
      <alignment horizontal="center"/>
    </xf>
    <xf numFmtId="41" fontId="17" fillId="0" borderId="8" xfId="0" applyNumberFormat="1" applyFont="1" applyBorder="1" applyAlignment="1">
      <alignment horizontal="center"/>
    </xf>
    <xf numFmtId="0" fontId="17" fillId="0" borderId="37" xfId="0" applyFont="1" applyBorder="1" applyAlignment="1">
      <alignment/>
    </xf>
    <xf numFmtId="0" fontId="17" fillId="0" borderId="0" xfId="0" applyFont="1" applyAlignment="1">
      <alignment/>
    </xf>
    <xf numFmtId="0" fontId="17" fillId="0" borderId="38" xfId="0" applyFont="1" applyBorder="1" applyAlignment="1">
      <alignment horizontal="left"/>
    </xf>
    <xf numFmtId="0" fontId="17" fillId="0" borderId="3" xfId="0" applyFont="1" applyBorder="1" applyAlignment="1">
      <alignment horizontal="center"/>
    </xf>
    <xf numFmtId="0" fontId="17" fillId="0" borderId="3" xfId="0" applyFont="1" applyBorder="1" applyAlignment="1">
      <alignment horizontal="left"/>
    </xf>
    <xf numFmtId="41" fontId="17" fillId="0" borderId="3" xfId="0" applyNumberFormat="1" applyFont="1" applyBorder="1" applyAlignment="1">
      <alignment horizontal="center"/>
    </xf>
    <xf numFmtId="41" fontId="17" fillId="0" borderId="3" xfId="0" applyNumberFormat="1" applyFont="1" applyBorder="1" applyAlignment="1" quotePrefix="1">
      <alignment horizontal="center"/>
    </xf>
    <xf numFmtId="0" fontId="17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" xfId="0" applyFont="1" applyBorder="1" applyAlignment="1">
      <alignment/>
    </xf>
    <xf numFmtId="0" fontId="18" fillId="0" borderId="1" xfId="0" applyFont="1" applyBorder="1" applyAlignment="1">
      <alignment horizontal="center"/>
    </xf>
    <xf numFmtId="0" fontId="18" fillId="0" borderId="1" xfId="0" applyNumberFormat="1" applyFont="1" applyBorder="1" applyAlignment="1">
      <alignment/>
    </xf>
    <xf numFmtId="41" fontId="18" fillId="0" borderId="1" xfId="0" applyNumberFormat="1" applyFont="1" applyBorder="1" applyAlignment="1">
      <alignment/>
    </xf>
    <xf numFmtId="165" fontId="18" fillId="0" borderId="1" xfId="17" applyNumberFormat="1" applyFont="1" applyBorder="1" applyAlignment="1">
      <alignment horizontal="left"/>
    </xf>
    <xf numFmtId="41" fontId="17" fillId="0" borderId="37" xfId="0" applyNumberFormat="1" applyFont="1" applyBorder="1" applyAlignment="1">
      <alignment horizontal="center"/>
    </xf>
    <xf numFmtId="41" fontId="17" fillId="0" borderId="4" xfId="0" applyNumberFormat="1" applyFont="1" applyBorder="1" applyAlignment="1">
      <alignment horizontal="center"/>
    </xf>
    <xf numFmtId="0" fontId="18" fillId="0" borderId="6" xfId="0" applyFont="1" applyBorder="1" applyAlignment="1">
      <alignment horizontal="left"/>
    </xf>
    <xf numFmtId="0" fontId="18" fillId="0" borderId="19" xfId="0" applyFont="1" applyBorder="1" applyAlignment="1">
      <alignment horizontal="center"/>
    </xf>
    <xf numFmtId="0" fontId="18" fillId="0" borderId="8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41" fontId="18" fillId="0" borderId="19" xfId="0" applyNumberFormat="1" applyFont="1" applyBorder="1" applyAlignment="1">
      <alignment horizontal="center"/>
    </xf>
    <xf numFmtId="41" fontId="18" fillId="0" borderId="19" xfId="0" applyNumberFormat="1" applyFont="1" applyBorder="1" applyAlignment="1" quotePrefix="1">
      <alignment horizontal="center"/>
    </xf>
    <xf numFmtId="41" fontId="18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42" fontId="1" fillId="0" borderId="0" xfId="0" applyNumberFormat="1" applyFont="1" applyBorder="1" applyAlignment="1">
      <alignment horizontal="right"/>
    </xf>
    <xf numFmtId="42" fontId="0" fillId="0" borderId="0" xfId="0" applyNumberFormat="1" applyFont="1" applyBorder="1" applyAlignment="1">
      <alignment/>
    </xf>
    <xf numFmtId="4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2" fontId="0" fillId="0" borderId="0" xfId="0" applyNumberFormat="1" applyFont="1" applyBorder="1" applyAlignment="1">
      <alignment horizontal="right"/>
    </xf>
    <xf numFmtId="4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2" fontId="1" fillId="0" borderId="0" xfId="0" applyNumberFormat="1" applyFont="1" applyBorder="1" applyAlignment="1">
      <alignment horizontal="left"/>
    </xf>
    <xf numFmtId="4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42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65" fontId="8" fillId="0" borderId="0" xfId="17" applyNumberFormat="1" applyFont="1" applyAlignment="1">
      <alignment/>
    </xf>
    <xf numFmtId="0" fontId="8" fillId="0" borderId="0" xfId="0" applyFont="1" applyAlignment="1">
      <alignment horizontal="center"/>
    </xf>
    <xf numFmtId="165" fontId="8" fillId="0" borderId="0" xfId="17" applyNumberFormat="1" applyFont="1" applyAlignment="1">
      <alignment horizontal="right"/>
    </xf>
    <xf numFmtId="0" fontId="5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9"/>
  <sheetViews>
    <sheetView tabSelected="1" workbookViewId="0" topLeftCell="A1">
      <selection activeCell="A1" sqref="A1"/>
    </sheetView>
  </sheetViews>
  <sheetFormatPr defaultColWidth="9.140625" defaultRowHeight="12.75"/>
  <sheetData>
    <row r="6" s="278" customFormat="1" ht="18">
      <c r="B6" s="284" t="s">
        <v>31</v>
      </c>
    </row>
    <row r="8" ht="18">
      <c r="D8" s="285" t="s">
        <v>554</v>
      </c>
    </row>
    <row r="11" s="43" customFormat="1" ht="15.75">
      <c r="B11" s="42" t="s">
        <v>32</v>
      </c>
    </row>
    <row r="12" s="43" customFormat="1" ht="15"/>
    <row r="13" s="43" customFormat="1" ht="15">
      <c r="B13" s="43" t="s">
        <v>33</v>
      </c>
    </row>
    <row r="14" s="43" customFormat="1" ht="15">
      <c r="B14" s="43" t="s">
        <v>158</v>
      </c>
    </row>
    <row r="15" s="43" customFormat="1" ht="15">
      <c r="B15" s="43" t="s">
        <v>177</v>
      </c>
    </row>
    <row r="16" s="43" customFormat="1" ht="15">
      <c r="B16" s="43" t="s">
        <v>108</v>
      </c>
    </row>
    <row r="17" s="43" customFormat="1" ht="15">
      <c r="B17" s="43" t="s">
        <v>7</v>
      </c>
    </row>
    <row r="18" s="43" customFormat="1" ht="15">
      <c r="B18" s="43" t="s">
        <v>6</v>
      </c>
    </row>
    <row r="19" s="43" customFormat="1" ht="15">
      <c r="B19" s="43" t="s">
        <v>8</v>
      </c>
    </row>
    <row r="20" s="43" customFormat="1" ht="15">
      <c r="B20" s="43" t="s">
        <v>4</v>
      </c>
    </row>
    <row r="21" s="43" customFormat="1" ht="15">
      <c r="B21" s="43" t="s">
        <v>9</v>
      </c>
    </row>
    <row r="22" s="43" customFormat="1" ht="15">
      <c r="B22" s="43" t="s">
        <v>10</v>
      </c>
    </row>
    <row r="23" s="43" customFormat="1" ht="15">
      <c r="B23" s="43" t="s">
        <v>160</v>
      </c>
    </row>
    <row r="24" s="43" customFormat="1" ht="15">
      <c r="B24" s="43" t="s">
        <v>161</v>
      </c>
    </row>
    <row r="25" s="43" customFormat="1" ht="15" hidden="1">
      <c r="B25" s="43" t="s">
        <v>156</v>
      </c>
    </row>
    <row r="26" s="43" customFormat="1" ht="15">
      <c r="B26" s="43" t="s">
        <v>50</v>
      </c>
    </row>
    <row r="27" s="43" customFormat="1" ht="15">
      <c r="B27" s="43" t="s">
        <v>28</v>
      </c>
    </row>
    <row r="28" s="43" customFormat="1" ht="15">
      <c r="B28" s="43" t="s">
        <v>159</v>
      </c>
    </row>
    <row r="29" s="43" customFormat="1" ht="15">
      <c r="B29" s="43" t="s">
        <v>157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&amp;C&amp;T  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58"/>
  <sheetViews>
    <sheetView workbookViewId="0" topLeftCell="A13">
      <selection activeCell="G49" sqref="G49"/>
    </sheetView>
  </sheetViews>
  <sheetFormatPr defaultColWidth="9.140625" defaultRowHeight="12.75"/>
  <cols>
    <col min="2" max="2" width="17.7109375" style="0" customWidth="1"/>
    <col min="3" max="3" width="11.28125" style="0" customWidth="1"/>
    <col min="4" max="4" width="21.7109375" style="0" customWidth="1"/>
  </cols>
  <sheetData>
    <row r="1" s="79" customFormat="1" ht="12.75"/>
    <row r="2" s="79" customFormat="1" ht="12.75"/>
    <row r="3" s="79" customFormat="1" ht="12.75">
      <c r="B3" s="77" t="s">
        <v>142</v>
      </c>
    </row>
    <row r="4" s="79" customFormat="1" ht="12.75">
      <c r="B4" s="77"/>
    </row>
    <row r="5" s="79" customFormat="1" ht="12.75"/>
    <row r="6" spans="2:5" s="79" customFormat="1" ht="12.75">
      <c r="B6" s="77" t="s">
        <v>125</v>
      </c>
      <c r="C6" s="78"/>
      <c r="D6" s="78"/>
      <c r="E6" s="77"/>
    </row>
    <row r="7" spans="3:4" s="79" customFormat="1" ht="12.75">
      <c r="C7" s="84"/>
      <c r="D7" s="84"/>
    </row>
    <row r="8" spans="2:5" s="79" customFormat="1" ht="12.75">
      <c r="B8" s="77" t="s">
        <v>16</v>
      </c>
      <c r="C8" s="85" t="s">
        <v>22</v>
      </c>
      <c r="D8" s="76" t="s">
        <v>63</v>
      </c>
      <c r="E8" s="77" t="s">
        <v>126</v>
      </c>
    </row>
    <row r="9" spans="2:4" s="79" customFormat="1" ht="12.75">
      <c r="B9" s="81"/>
      <c r="C9" s="6"/>
      <c r="D9" s="86"/>
    </row>
    <row r="10" spans="2:5" s="79" customFormat="1" ht="12.75">
      <c r="B10" s="81" t="s">
        <v>119</v>
      </c>
      <c r="C10" s="6">
        <v>57000</v>
      </c>
      <c r="D10" s="88" t="s">
        <v>123</v>
      </c>
      <c r="E10" s="87" t="s">
        <v>143</v>
      </c>
    </row>
    <row r="11" spans="2:5" s="79" customFormat="1" ht="12.75">
      <c r="B11" s="81" t="s">
        <v>119</v>
      </c>
      <c r="C11" s="6">
        <v>57000</v>
      </c>
      <c r="D11" s="88" t="s">
        <v>123</v>
      </c>
      <c r="E11" s="87" t="s">
        <v>170</v>
      </c>
    </row>
    <row r="12" spans="2:5" s="79" customFormat="1" ht="12.75">
      <c r="B12" s="81" t="s">
        <v>119</v>
      </c>
      <c r="C12" s="5">
        <v>57000</v>
      </c>
      <c r="D12" s="86" t="s">
        <v>223</v>
      </c>
      <c r="E12" s="107" t="s">
        <v>172</v>
      </c>
    </row>
    <row r="13" spans="2:5" s="79" customFormat="1" ht="12.75">
      <c r="B13" s="81" t="s">
        <v>222</v>
      </c>
      <c r="C13" s="5">
        <f>Requests!J80</f>
        <v>145000</v>
      </c>
      <c r="D13" s="86" t="s">
        <v>171</v>
      </c>
      <c r="E13" s="107" t="s">
        <v>492</v>
      </c>
    </row>
    <row r="14" spans="2:5" s="79" customFormat="1" ht="12.75">
      <c r="B14" s="81" t="s">
        <v>222</v>
      </c>
      <c r="C14" s="5">
        <v>120000</v>
      </c>
      <c r="D14" s="86" t="s">
        <v>223</v>
      </c>
      <c r="E14" s="107" t="s">
        <v>491</v>
      </c>
    </row>
    <row r="15" spans="1:5" s="79" customFormat="1" ht="12.75">
      <c r="A15" s="138"/>
      <c r="B15" s="81" t="s">
        <v>122</v>
      </c>
      <c r="C15" s="89">
        <v>40404</v>
      </c>
      <c r="D15" s="86" t="s">
        <v>133</v>
      </c>
      <c r="E15" s="107" t="s">
        <v>173</v>
      </c>
    </row>
    <row r="16" spans="1:5" s="79" customFormat="1" ht="12.75">
      <c r="A16" s="138"/>
      <c r="B16" s="81" t="s">
        <v>385</v>
      </c>
      <c r="C16" s="89">
        <v>35364</v>
      </c>
      <c r="D16" s="86" t="s">
        <v>268</v>
      </c>
      <c r="E16" s="107" t="s">
        <v>466</v>
      </c>
    </row>
    <row r="17" spans="1:5" s="79" customFormat="1" ht="12.75">
      <c r="A17" s="138"/>
      <c r="B17" s="81" t="s">
        <v>189</v>
      </c>
      <c r="C17" s="89">
        <v>44004</v>
      </c>
      <c r="D17" s="86" t="s">
        <v>133</v>
      </c>
      <c r="E17" s="107" t="s">
        <v>117</v>
      </c>
    </row>
    <row r="18" spans="1:5" s="79" customFormat="1" ht="12.75">
      <c r="A18" s="138"/>
      <c r="B18" s="81" t="s">
        <v>267</v>
      </c>
      <c r="C18" s="89">
        <v>43200</v>
      </c>
      <c r="D18" s="86" t="s">
        <v>123</v>
      </c>
      <c r="E18" s="107" t="s">
        <v>255</v>
      </c>
    </row>
    <row r="19" spans="1:5" s="79" customFormat="1" ht="12.75">
      <c r="A19" s="138"/>
      <c r="B19" s="81" t="s">
        <v>471</v>
      </c>
      <c r="C19" s="89">
        <f>Requests!C86</f>
        <v>70008</v>
      </c>
      <c r="D19" s="86" t="s">
        <v>171</v>
      </c>
      <c r="E19" s="107"/>
    </row>
    <row r="20" spans="1:5" s="79" customFormat="1" ht="12.75">
      <c r="A20" s="138"/>
      <c r="B20" s="81" t="s">
        <v>189</v>
      </c>
      <c r="C20" s="89">
        <f>Requests!J87</f>
        <v>110000</v>
      </c>
      <c r="D20" s="86" t="s">
        <v>472</v>
      </c>
      <c r="E20" s="107" t="s">
        <v>495</v>
      </c>
    </row>
    <row r="21" spans="1:5" s="79" customFormat="1" ht="12.75">
      <c r="A21" s="138"/>
      <c r="B21" s="81" t="s">
        <v>233</v>
      </c>
      <c r="C21" s="89">
        <f>Requests!C88</f>
        <v>85000</v>
      </c>
      <c r="D21" s="86" t="s">
        <v>472</v>
      </c>
      <c r="E21" s="107" t="s">
        <v>338</v>
      </c>
    </row>
    <row r="22" spans="1:5" s="79" customFormat="1" ht="12.75">
      <c r="A22" s="138"/>
      <c r="B22" s="81" t="s">
        <v>189</v>
      </c>
      <c r="C22" s="89">
        <f>Requests!C89</f>
        <v>66600</v>
      </c>
      <c r="D22" s="86" t="s">
        <v>123</v>
      </c>
      <c r="E22" s="107"/>
    </row>
    <row r="23" spans="1:5" s="79" customFormat="1" ht="12.75">
      <c r="A23" s="138"/>
      <c r="B23" s="81" t="s">
        <v>189</v>
      </c>
      <c r="C23" s="89">
        <f>Requests!C90</f>
        <v>55761</v>
      </c>
      <c r="D23" s="86" t="s">
        <v>123</v>
      </c>
      <c r="E23" s="107"/>
    </row>
    <row r="24" spans="1:5" s="79" customFormat="1" ht="12.75">
      <c r="A24" s="138"/>
      <c r="B24" s="81" t="s">
        <v>189</v>
      </c>
      <c r="C24" s="89">
        <f>Requests!C91</f>
        <v>55761</v>
      </c>
      <c r="D24" s="86" t="s">
        <v>123</v>
      </c>
      <c r="E24" s="107"/>
    </row>
    <row r="25" spans="1:5" s="79" customFormat="1" ht="12.75">
      <c r="A25" s="138"/>
      <c r="B25" s="81" t="s">
        <v>233</v>
      </c>
      <c r="C25" s="89">
        <f>Requests!C92</f>
        <v>48000</v>
      </c>
      <c r="D25" s="86" t="s">
        <v>123</v>
      </c>
      <c r="E25" s="107" t="s">
        <v>473</v>
      </c>
    </row>
    <row r="26" spans="1:5" s="79" customFormat="1" ht="12.75">
      <c r="A26" s="138"/>
      <c r="B26" s="81" t="s">
        <v>122</v>
      </c>
      <c r="C26" s="89">
        <f>Requests!C93</f>
        <v>46052</v>
      </c>
      <c r="D26" s="86" t="s">
        <v>123</v>
      </c>
      <c r="E26" s="107"/>
    </row>
    <row r="27" spans="1:5" s="79" customFormat="1" ht="12.75">
      <c r="A27" s="138"/>
      <c r="B27" s="81" t="s">
        <v>122</v>
      </c>
      <c r="C27" s="89">
        <f>Requests!C94</f>
        <v>46052</v>
      </c>
      <c r="D27" s="86" t="s">
        <v>123</v>
      </c>
      <c r="E27" s="107"/>
    </row>
    <row r="28" spans="1:5" s="79" customFormat="1" ht="12.75">
      <c r="A28" s="138"/>
      <c r="B28" s="81" t="s">
        <v>267</v>
      </c>
      <c r="C28" s="89">
        <f>Requests!C95</f>
        <v>84280</v>
      </c>
      <c r="D28" s="86" t="s">
        <v>512</v>
      </c>
      <c r="E28" s="107" t="s">
        <v>513</v>
      </c>
    </row>
    <row r="29" spans="2:4" s="79" customFormat="1" ht="12.75">
      <c r="B29" s="87"/>
      <c r="C29" s="89"/>
      <c r="D29" s="86"/>
    </row>
    <row r="30" spans="1:4" s="79" customFormat="1" ht="12.75">
      <c r="A30" s="77">
        <f>COUNT(C10:C29)</f>
        <v>19</v>
      </c>
      <c r="B30" s="77" t="s">
        <v>128</v>
      </c>
      <c r="C30" s="84"/>
      <c r="D30" s="78">
        <f>SUM(C9:C29)</f>
        <v>1266486</v>
      </c>
    </row>
    <row r="31" spans="3:4" s="79" customFormat="1" ht="12.75">
      <c r="C31" s="84"/>
      <c r="D31" s="84"/>
    </row>
    <row r="32" spans="3:4" s="79" customFormat="1" ht="12.75">
      <c r="C32" s="84"/>
      <c r="D32" s="84"/>
    </row>
    <row r="33" spans="2:5" s="79" customFormat="1" ht="12.75">
      <c r="B33" s="77" t="s">
        <v>127</v>
      </c>
      <c r="C33" s="78"/>
      <c r="D33" s="78"/>
      <c r="E33" s="77"/>
    </row>
    <row r="34" spans="2:5" s="79" customFormat="1" ht="12.75">
      <c r="B34" s="77"/>
      <c r="C34" s="78"/>
      <c r="D34" s="78"/>
      <c r="E34" s="77"/>
    </row>
    <row r="35" spans="2:4" s="79" customFormat="1" ht="12.75">
      <c r="B35" s="79" t="s">
        <v>50</v>
      </c>
      <c r="C35" s="5">
        <f>Promotions!H19</f>
        <v>0</v>
      </c>
      <c r="D35" s="84"/>
    </row>
    <row r="36" spans="2:4" s="79" customFormat="1" ht="12.75">
      <c r="B36" s="79" t="s">
        <v>3</v>
      </c>
      <c r="C36" s="5">
        <f>'Salary Adjustments'!H19</f>
        <v>0</v>
      </c>
      <c r="D36" s="84"/>
    </row>
    <row r="37" spans="2:4" s="79" customFormat="1" ht="12.75">
      <c r="B37" s="138" t="s">
        <v>167</v>
      </c>
      <c r="C37" s="5">
        <v>0</v>
      </c>
      <c r="D37" s="84"/>
    </row>
    <row r="38" spans="2:4" s="79" customFormat="1" ht="12.75">
      <c r="B38" s="138" t="s">
        <v>414</v>
      </c>
      <c r="C38" s="5">
        <v>0</v>
      </c>
      <c r="D38" s="84"/>
    </row>
    <row r="39" spans="2:4" s="79" customFormat="1" ht="12.75">
      <c r="B39" s="138" t="s">
        <v>136</v>
      </c>
      <c r="C39" s="5">
        <f>Recalls!E22</f>
        <v>0</v>
      </c>
      <c r="D39" s="84"/>
    </row>
    <row r="40" spans="2:5" s="79" customFormat="1" ht="12.75">
      <c r="B40" s="77" t="s">
        <v>2</v>
      </c>
      <c r="C40" s="78"/>
      <c r="D40" s="78">
        <f>SUM(C35:C39)</f>
        <v>0</v>
      </c>
      <c r="E40" s="77"/>
    </row>
    <row r="41" spans="3:4" s="79" customFormat="1" ht="12.75">
      <c r="C41" s="84"/>
      <c r="D41" s="84"/>
    </row>
    <row r="42" spans="2:4" s="79" customFormat="1" ht="12.75">
      <c r="B42" s="77" t="s">
        <v>130</v>
      </c>
      <c r="C42" s="84"/>
      <c r="D42" s="78">
        <f>SUM(D9:D41)</f>
        <v>1266486</v>
      </c>
    </row>
    <row r="43" spans="2:4" s="79" customFormat="1" ht="12.75">
      <c r="B43" s="77"/>
      <c r="C43" s="84"/>
      <c r="D43" s="78"/>
    </row>
    <row r="44" spans="2:5" s="79" customFormat="1" ht="12.75">
      <c r="B44" s="77" t="s">
        <v>149</v>
      </c>
      <c r="C44" s="78"/>
      <c r="D44" s="78">
        <f>'Captured Pool'!K77</f>
        <v>53650</v>
      </c>
      <c r="E44" s="77"/>
    </row>
    <row r="45" spans="3:4" s="79" customFormat="1" ht="12.75">
      <c r="C45" s="84"/>
      <c r="D45" s="84"/>
    </row>
    <row r="46" spans="2:4" s="79" customFormat="1" ht="12.75">
      <c r="B46" s="77" t="s">
        <v>131</v>
      </c>
      <c r="C46" s="84"/>
      <c r="D46" s="82">
        <f>'Captured Pool'!J77</f>
        <v>1255560</v>
      </c>
    </row>
    <row r="47" spans="2:4" s="79" customFormat="1" ht="12.75">
      <c r="B47" s="77"/>
      <c r="C47" s="84"/>
      <c r="D47" s="82"/>
    </row>
    <row r="48" spans="3:4" s="79" customFormat="1" ht="12.75">
      <c r="C48" s="84"/>
      <c r="D48" s="84"/>
    </row>
    <row r="49" spans="2:4" s="79" customFormat="1" ht="12.75">
      <c r="B49" s="77" t="s">
        <v>494</v>
      </c>
      <c r="C49" s="84"/>
      <c r="D49" s="84"/>
    </row>
    <row r="50" spans="2:4" s="79" customFormat="1" ht="12.75">
      <c r="B50" s="87" t="s">
        <v>217</v>
      </c>
      <c r="C50" s="84"/>
      <c r="D50" s="84"/>
    </row>
    <row r="51" s="79" customFormat="1" ht="12.75"/>
    <row r="52" s="79" customFormat="1" ht="12.75" hidden="1">
      <c r="B52" s="77" t="s">
        <v>138</v>
      </c>
    </row>
    <row r="53" spans="2:5" s="79" customFormat="1" ht="12.75" hidden="1">
      <c r="B53" s="79" t="s">
        <v>144</v>
      </c>
      <c r="C53" s="84">
        <v>-40404</v>
      </c>
      <c r="E53" s="79" t="s">
        <v>145</v>
      </c>
    </row>
    <row r="54" spans="3:5" s="79" customFormat="1" ht="12.75" hidden="1">
      <c r="C54" s="84">
        <v>42000</v>
      </c>
      <c r="E54" s="79" t="s">
        <v>141</v>
      </c>
    </row>
    <row r="55" ht="12.75">
      <c r="B55" s="3" t="s">
        <v>496</v>
      </c>
    </row>
    <row r="56" ht="12.75">
      <c r="B56" s="138" t="s">
        <v>497</v>
      </c>
    </row>
    <row r="57" ht="12.75">
      <c r="B57" s="138" t="s">
        <v>569</v>
      </c>
    </row>
    <row r="58" ht="12.75">
      <c r="B58" s="138" t="s">
        <v>570</v>
      </c>
    </row>
  </sheetData>
  <printOptions/>
  <pageMargins left="0.75" right="0.75" top="1" bottom="1" header="0.5" footer="0.5"/>
  <pageSetup fitToHeight="1" fitToWidth="1" horizontalDpi="600" verticalDpi="600" orientation="portrait" scale="86" r:id="rId1"/>
  <headerFooter alignWithMargins="0">
    <oddFooter>&amp;C&amp;T  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0"/>
  <sheetViews>
    <sheetView workbookViewId="0" topLeftCell="A1">
      <selection activeCell="F19" sqref="F19"/>
    </sheetView>
  </sheetViews>
  <sheetFormatPr defaultColWidth="9.140625" defaultRowHeight="12.75"/>
  <cols>
    <col min="2" max="2" width="21.140625" style="0" customWidth="1"/>
    <col min="4" max="4" width="11.8515625" style="0" customWidth="1"/>
  </cols>
  <sheetData>
    <row r="3" ht="12.75">
      <c r="B3" s="3" t="s">
        <v>146</v>
      </c>
    </row>
    <row r="4" ht="12.75">
      <c r="B4" s="3"/>
    </row>
    <row r="6" spans="2:5" ht="12.75">
      <c r="B6" s="3" t="s">
        <v>125</v>
      </c>
      <c r="C6" s="7"/>
      <c r="D6" s="7"/>
      <c r="E6" s="3"/>
    </row>
    <row r="7" spans="3:4" ht="12.75">
      <c r="C7" s="2"/>
      <c r="D7" s="2"/>
    </row>
    <row r="8" spans="2:5" ht="12.75">
      <c r="B8" s="3"/>
      <c r="C8" s="8" t="s">
        <v>22</v>
      </c>
      <c r="D8" s="75" t="s">
        <v>63</v>
      </c>
      <c r="E8" s="3" t="s">
        <v>126</v>
      </c>
    </row>
    <row r="9" spans="2:4" ht="12.75">
      <c r="B9" s="81"/>
      <c r="C9" s="6"/>
      <c r="D9" s="83"/>
    </row>
    <row r="10" spans="2:5" ht="12.75">
      <c r="B10" s="81" t="s">
        <v>175</v>
      </c>
      <c r="C10" s="6">
        <v>71004</v>
      </c>
      <c r="D10" s="83" t="s">
        <v>123</v>
      </c>
      <c r="E10" t="s">
        <v>117</v>
      </c>
    </row>
    <row r="11" spans="2:5" ht="12.75">
      <c r="B11" s="81" t="s">
        <v>123</v>
      </c>
      <c r="C11" s="6">
        <v>71004</v>
      </c>
      <c r="D11" s="83" t="s">
        <v>123</v>
      </c>
      <c r="E11" t="s">
        <v>482</v>
      </c>
    </row>
    <row r="12" spans="2:4" ht="12.75">
      <c r="B12" s="81" t="s">
        <v>123</v>
      </c>
      <c r="C12" s="6">
        <f>Requests!C112</f>
        <v>75000</v>
      </c>
      <c r="D12" s="83" t="s">
        <v>123</v>
      </c>
    </row>
    <row r="13" spans="2:4" ht="12.75">
      <c r="B13" s="81" t="s">
        <v>124</v>
      </c>
      <c r="C13" s="6">
        <f>Requests!C113</f>
        <v>86500</v>
      </c>
      <c r="D13" s="83" t="s">
        <v>124</v>
      </c>
    </row>
    <row r="14" spans="2:4" ht="12.75">
      <c r="B14" s="81"/>
      <c r="C14" s="6"/>
      <c r="D14" s="83"/>
    </row>
    <row r="15" spans="1:4" ht="12.75">
      <c r="A15" s="3">
        <f>COUNT(C9:C14)</f>
        <v>4</v>
      </c>
      <c r="B15" s="3" t="s">
        <v>128</v>
      </c>
      <c r="C15" s="2"/>
      <c r="D15" s="7">
        <f>SUM(C9:C14)</f>
        <v>303508</v>
      </c>
    </row>
    <row r="16" spans="1:4" ht="12.75">
      <c r="A16" s="3"/>
      <c r="B16" s="3"/>
      <c r="C16" s="2"/>
      <c r="D16" s="7"/>
    </row>
    <row r="17" spans="1:4" ht="12.75">
      <c r="A17" s="3"/>
      <c r="B17" s="3"/>
      <c r="C17" s="2"/>
      <c r="D17" s="7"/>
    </row>
    <row r="18" spans="1:4" ht="12.75">
      <c r="A18" s="3"/>
      <c r="B18" s="3" t="s">
        <v>127</v>
      </c>
      <c r="C18" s="2"/>
      <c r="D18" s="7"/>
    </row>
    <row r="19" spans="2:4" s="10" customFormat="1" ht="12.75">
      <c r="B19" s="10" t="s">
        <v>50</v>
      </c>
      <c r="C19" s="54">
        <f>Promotions!H21</f>
        <v>0</v>
      </c>
      <c r="D19" s="54"/>
    </row>
    <row r="20" spans="2:4" s="10" customFormat="1" ht="12.75">
      <c r="B20" s="10" t="s">
        <v>3</v>
      </c>
      <c r="C20" s="54">
        <f>'Salary Adjustments'!H22</f>
        <v>0</v>
      </c>
      <c r="D20" s="54"/>
    </row>
    <row r="21" spans="2:4" s="10" customFormat="1" ht="12.75">
      <c r="B21" s="10" t="s">
        <v>167</v>
      </c>
      <c r="C21" s="54">
        <v>0</v>
      </c>
      <c r="D21" s="54"/>
    </row>
    <row r="22" spans="2:4" s="10" customFormat="1" ht="12.75">
      <c r="B22" s="10" t="s">
        <v>414</v>
      </c>
      <c r="C22" s="54">
        <v>0</v>
      </c>
      <c r="D22" s="54"/>
    </row>
    <row r="23" spans="2:4" s="10" customFormat="1" ht="12.75">
      <c r="B23" s="10" t="s">
        <v>136</v>
      </c>
      <c r="C23" s="54">
        <f>Recalls!E24</f>
        <v>0</v>
      </c>
      <c r="D23" s="54"/>
    </row>
    <row r="24" spans="2:4" s="10" customFormat="1" ht="12.75">
      <c r="B24" s="3" t="s">
        <v>2</v>
      </c>
      <c r="C24" s="7">
        <v>0</v>
      </c>
      <c r="D24" s="54"/>
    </row>
    <row r="25" spans="3:4" ht="12.75">
      <c r="C25" s="2"/>
      <c r="D25" s="2"/>
    </row>
    <row r="26" spans="2:4" ht="12.75">
      <c r="B26" s="3" t="s">
        <v>130</v>
      </c>
      <c r="C26" s="2"/>
      <c r="D26" s="7">
        <f>SUM(D15:D24)</f>
        <v>303508</v>
      </c>
    </row>
    <row r="27" spans="2:4" ht="12.75">
      <c r="B27" s="3"/>
      <c r="C27" s="2"/>
      <c r="D27" s="7"/>
    </row>
    <row r="28" spans="2:4" s="3" customFormat="1" ht="12.75">
      <c r="B28" s="3" t="s">
        <v>149</v>
      </c>
      <c r="C28" s="7"/>
      <c r="D28" s="7">
        <f>'Captured Pool'!K84</f>
        <v>40408</v>
      </c>
    </row>
    <row r="29" spans="3:4" ht="12.75">
      <c r="C29" s="2"/>
      <c r="D29" s="2"/>
    </row>
    <row r="30" spans="2:4" ht="12.75">
      <c r="B30" s="3" t="s">
        <v>131</v>
      </c>
      <c r="C30" s="2"/>
      <c r="D30" s="82">
        <f>'Captured Pool'!J84</f>
        <v>322548</v>
      </c>
    </row>
  </sheetData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&amp;C&amp;T  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26"/>
  <sheetViews>
    <sheetView workbookViewId="0" topLeftCell="A1">
      <selection activeCell="B14" sqref="B14"/>
    </sheetView>
  </sheetViews>
  <sheetFormatPr defaultColWidth="9.140625" defaultRowHeight="12.75"/>
  <cols>
    <col min="2" max="2" width="40.140625" style="0" customWidth="1"/>
    <col min="3" max="3" width="12.28125" style="2" customWidth="1"/>
    <col min="4" max="4" width="12.7109375" style="0" customWidth="1"/>
  </cols>
  <sheetData>
    <row r="3" spans="2:3" s="79" customFormat="1" ht="12.75">
      <c r="B3" s="77" t="s">
        <v>150</v>
      </c>
      <c r="C3" s="84"/>
    </row>
    <row r="4" s="79" customFormat="1" ht="12.75">
      <c r="C4" s="84"/>
    </row>
    <row r="5" spans="2:3" s="3" customFormat="1" ht="12.75">
      <c r="B5" s="3" t="s">
        <v>151</v>
      </c>
      <c r="C5" s="7" t="s">
        <v>152</v>
      </c>
    </row>
    <row r="6" s="3" customFormat="1" ht="12.75">
      <c r="C6" s="7"/>
    </row>
    <row r="7" s="3" customFormat="1" ht="12.75">
      <c r="C7" s="7"/>
    </row>
    <row r="8" spans="1:3" s="3" customFormat="1" ht="12.75">
      <c r="A8" s="3">
        <f>COUNT(C6:C7)</f>
        <v>0</v>
      </c>
      <c r="B8" s="3" t="s">
        <v>178</v>
      </c>
      <c r="C8" s="7">
        <v>0</v>
      </c>
    </row>
    <row r="9" s="3" customFormat="1" ht="12.75">
      <c r="C9" s="7"/>
    </row>
    <row r="10" spans="2:3" s="3" customFormat="1" ht="12.75">
      <c r="B10" s="10" t="s">
        <v>477</v>
      </c>
      <c r="C10" s="54">
        <v>14900</v>
      </c>
    </row>
    <row r="11" spans="2:3" s="3" customFormat="1" ht="12.75">
      <c r="B11" s="10" t="s">
        <v>475</v>
      </c>
      <c r="C11" s="54">
        <f>120000-108588</f>
        <v>11412</v>
      </c>
    </row>
    <row r="12" spans="2:3" s="3" customFormat="1" ht="12.75">
      <c r="B12" s="3" t="s">
        <v>535</v>
      </c>
      <c r="C12" s="7">
        <f>SUM(C10:C11)</f>
        <v>26312</v>
      </c>
    </row>
    <row r="13" s="3" customFormat="1" ht="12.75">
      <c r="C13" s="7"/>
    </row>
    <row r="14" s="3" customFormat="1" ht="12.75">
      <c r="C14" s="7"/>
    </row>
    <row r="15" spans="2:3" s="3" customFormat="1" ht="12.75">
      <c r="B15" s="10" t="s">
        <v>499</v>
      </c>
      <c r="C15" s="54">
        <f>+'Captured Pool'!K89</f>
        <v>226067</v>
      </c>
    </row>
    <row r="16" spans="2:3" s="3" customFormat="1" ht="12.75">
      <c r="B16" s="10" t="s">
        <v>571</v>
      </c>
      <c r="C16" s="54">
        <v>-199163</v>
      </c>
    </row>
    <row r="17" spans="2:3" s="3" customFormat="1" ht="12.75">
      <c r="B17" s="3" t="s">
        <v>154</v>
      </c>
      <c r="C17" s="7">
        <f>SUM(C15:C16)</f>
        <v>26904</v>
      </c>
    </row>
    <row r="18" s="3" customFormat="1" ht="12.75">
      <c r="C18" s="7"/>
    </row>
    <row r="19" spans="2:3" s="3" customFormat="1" ht="12.75">
      <c r="B19" s="3" t="s">
        <v>505</v>
      </c>
      <c r="C19" s="7">
        <v>2789</v>
      </c>
    </row>
    <row r="20" s="3" customFormat="1" ht="12.75">
      <c r="C20" s="7"/>
    </row>
    <row r="21" spans="2:3" s="3" customFormat="1" ht="12.75">
      <c r="B21" s="3" t="s">
        <v>130</v>
      </c>
      <c r="C21" s="7">
        <f>C17+C12+C8+C19</f>
        <v>56005</v>
      </c>
    </row>
    <row r="22" s="3" customFormat="1" ht="12.75">
      <c r="C22" s="7"/>
    </row>
    <row r="23" s="3" customFormat="1" ht="12.75">
      <c r="C23" s="7"/>
    </row>
    <row r="24" s="3" customFormat="1" ht="12.75">
      <c r="C24" s="7"/>
    </row>
    <row r="25" spans="2:3" s="10" customFormat="1" ht="12.75">
      <c r="B25" s="3" t="s">
        <v>131</v>
      </c>
      <c r="C25" s="106">
        <f>'Captured Pool'!J87</f>
        <v>0</v>
      </c>
    </row>
    <row r="26" ht="12.75">
      <c r="C26" s="105"/>
    </row>
  </sheetData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&amp;C&amp;T  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F32"/>
  <sheetViews>
    <sheetView workbookViewId="0" topLeftCell="A2">
      <selection activeCell="K4" sqref="K4"/>
    </sheetView>
  </sheetViews>
  <sheetFormatPr defaultColWidth="9.140625" defaultRowHeight="12.75"/>
  <cols>
    <col min="3" max="3" width="12.421875" style="0" customWidth="1"/>
    <col min="4" max="4" width="8.8515625" style="112" customWidth="1"/>
    <col min="5" max="5" width="11.421875" style="72" bestFit="1" customWidth="1"/>
    <col min="6" max="6" width="8.8515625" style="2" customWidth="1"/>
  </cols>
  <sheetData>
    <row r="2" ht="12.75">
      <c r="B2" s="3" t="s">
        <v>35</v>
      </c>
    </row>
    <row r="5" spans="2:6" s="3" customFormat="1" ht="12.75">
      <c r="B5" s="3" t="s">
        <v>11</v>
      </c>
      <c r="C5" s="3" t="s">
        <v>16</v>
      </c>
      <c r="D5" s="9" t="s">
        <v>36</v>
      </c>
      <c r="E5" s="8" t="s">
        <v>22</v>
      </c>
      <c r="F5" s="7"/>
    </row>
    <row r="6" spans="2:6" s="10" customFormat="1" ht="12.75">
      <c r="B6" s="10" t="s">
        <v>5</v>
      </c>
      <c r="C6" s="10" t="s">
        <v>489</v>
      </c>
      <c r="D6" s="114">
        <v>0.25</v>
      </c>
      <c r="E6" s="73">
        <v>12500</v>
      </c>
      <c r="F6" s="54" t="s">
        <v>490</v>
      </c>
    </row>
    <row r="7" spans="2:6" ht="12.75">
      <c r="B7" t="s">
        <v>434</v>
      </c>
      <c r="C7" t="s">
        <v>484</v>
      </c>
      <c r="D7" s="112">
        <v>0.25</v>
      </c>
      <c r="E7" s="72">
        <v>12500</v>
      </c>
      <c r="F7" s="83" t="s">
        <v>490</v>
      </c>
    </row>
    <row r="8" spans="2:5" ht="12.75">
      <c r="B8" t="s">
        <v>485</v>
      </c>
      <c r="C8" t="s">
        <v>486</v>
      </c>
      <c r="D8" s="225">
        <v>1</v>
      </c>
      <c r="E8" s="72">
        <f>D8*'HS'!C25</f>
        <v>48000</v>
      </c>
    </row>
    <row r="9" spans="2:6" s="3" customFormat="1" ht="12.75">
      <c r="B9" s="3" t="s">
        <v>2</v>
      </c>
      <c r="D9" s="9">
        <f>SUM(D6:D8)</f>
        <v>1.5</v>
      </c>
      <c r="E9" s="8">
        <f>SUM(E6:E8)</f>
        <v>73000</v>
      </c>
      <c r="F9" s="7"/>
    </row>
    <row r="11" spans="4:6" s="108" customFormat="1" ht="12.75">
      <c r="D11" s="113"/>
      <c r="E11" s="116"/>
      <c r="F11" s="110"/>
    </row>
    <row r="15" ht="12.75">
      <c r="B15" s="3" t="s">
        <v>37</v>
      </c>
    </row>
    <row r="17" spans="2:6" s="3" customFormat="1" ht="12.75">
      <c r="B17" s="3" t="s">
        <v>11</v>
      </c>
      <c r="C17" s="3" t="s">
        <v>16</v>
      </c>
      <c r="D17" s="9" t="s">
        <v>36</v>
      </c>
      <c r="E17" s="8" t="s">
        <v>22</v>
      </c>
      <c r="F17" s="7"/>
    </row>
    <row r="18" spans="2:6" s="10" customFormat="1" ht="12.75">
      <c r="B18" s="10" t="s">
        <v>55</v>
      </c>
      <c r="C18" s="10" t="s">
        <v>256</v>
      </c>
      <c r="D18" s="114">
        <v>0.125</v>
      </c>
      <c r="E18" s="73">
        <f>D18*'Ag'!C15</f>
        <v>5562.5</v>
      </c>
      <c r="F18" s="54"/>
    </row>
    <row r="19" spans="2:6" s="10" customFormat="1" ht="12.75">
      <c r="B19" s="10" t="s">
        <v>5</v>
      </c>
      <c r="C19" s="10" t="s">
        <v>483</v>
      </c>
      <c r="D19" s="114">
        <v>0.125</v>
      </c>
      <c r="E19" s="73">
        <f>D19*'A&amp;S'!C20</f>
        <v>6382.5</v>
      </c>
      <c r="F19" s="54"/>
    </row>
    <row r="20" spans="2:6" s="3" customFormat="1" ht="12.75">
      <c r="B20" s="3" t="s">
        <v>2</v>
      </c>
      <c r="D20" s="9">
        <f>SUM(D18:D19)</f>
        <v>0.25</v>
      </c>
      <c r="E20" s="8">
        <f>SUM(E18:E19)</f>
        <v>11945</v>
      </c>
      <c r="F20" s="7"/>
    </row>
    <row r="21" spans="4:6" s="3" customFormat="1" ht="12.75">
      <c r="D21" s="9"/>
      <c r="E21" s="8"/>
      <c r="F21" s="7"/>
    </row>
    <row r="22" spans="4:6" s="3" customFormat="1" ht="12.75">
      <c r="D22" s="9"/>
      <c r="E22" s="8"/>
      <c r="F22" s="7"/>
    </row>
    <row r="23" spans="4:6" s="109" customFormat="1" ht="12.75">
      <c r="D23" s="115"/>
      <c r="E23" s="117"/>
      <c r="F23" s="111"/>
    </row>
    <row r="24" spans="4:6" s="3" customFormat="1" ht="12.75">
      <c r="D24" s="9"/>
      <c r="E24" s="8"/>
      <c r="F24" s="7"/>
    </row>
    <row r="27" ht="12.75">
      <c r="B27" s="3" t="s">
        <v>162</v>
      </c>
    </row>
    <row r="29" spans="2:6" s="3" customFormat="1" ht="12.75">
      <c r="B29" s="3" t="s">
        <v>11</v>
      </c>
      <c r="C29" s="3" t="s">
        <v>16</v>
      </c>
      <c r="D29" s="9" t="s">
        <v>36</v>
      </c>
      <c r="E29" s="8" t="s">
        <v>22</v>
      </c>
      <c r="F29" s="7"/>
    </row>
    <row r="30" spans="5:6" ht="12.75">
      <c r="E30" s="118"/>
      <c r="F30" s="83"/>
    </row>
    <row r="32" spans="2:6" s="3" customFormat="1" ht="12.75">
      <c r="B32" s="3" t="s">
        <v>2</v>
      </c>
      <c r="D32" s="9">
        <f>SUM(D30:D31)</f>
        <v>0</v>
      </c>
      <c r="E32" s="8">
        <f>SUM(E30:E31)</f>
        <v>0</v>
      </c>
      <c r="F32" s="7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&amp;C&amp;T  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zoomScale="75" zoomScaleNormal="75" workbookViewId="0" topLeftCell="A1">
      <selection activeCell="D30" sqref="D30"/>
    </sheetView>
  </sheetViews>
  <sheetFormatPr defaultColWidth="9.140625" defaultRowHeight="12.75" outlineLevelRow="1"/>
  <cols>
    <col min="1" max="1" width="26.28125" style="68" bestFit="1" customWidth="1"/>
    <col min="2" max="2" width="10.57421875" style="70" hidden="1" customWidth="1"/>
    <col min="3" max="3" width="14.140625" style="68" hidden="1" customWidth="1"/>
    <col min="4" max="4" width="33.140625" style="68" bestFit="1" customWidth="1"/>
    <col min="5" max="5" width="24.00390625" style="68" bestFit="1" customWidth="1"/>
    <col min="6" max="8" width="13.7109375" style="71" customWidth="1"/>
    <col min="9" max="9" width="13.28125" style="68" hidden="1" customWidth="1"/>
    <col min="10" max="16384" width="9.140625" style="68" customWidth="1"/>
  </cols>
  <sheetData>
    <row r="2" spans="1:9" ht="18">
      <c r="A2" s="65" t="s">
        <v>574</v>
      </c>
      <c r="B2" s="65"/>
      <c r="C2" s="65"/>
      <c r="D2" s="65"/>
      <c r="E2" s="65"/>
      <c r="F2" s="66"/>
      <c r="G2" s="66"/>
      <c r="H2" s="66"/>
      <c r="I2" s="67"/>
    </row>
    <row r="3" spans="1:9" ht="18">
      <c r="A3" s="69"/>
      <c r="B3" s="67"/>
      <c r="C3" s="65"/>
      <c r="D3" s="65"/>
      <c r="E3" s="65"/>
      <c r="F3" s="66"/>
      <c r="G3" s="66"/>
      <c r="H3" s="66"/>
      <c r="I3" s="67"/>
    </row>
    <row r="4" spans="1:9" s="301" customFormat="1" ht="12.75">
      <c r="A4" s="297"/>
      <c r="B4" s="298"/>
      <c r="C4" s="298"/>
      <c r="D4" s="298"/>
      <c r="E4" s="298"/>
      <c r="F4" s="299" t="s">
        <v>164</v>
      </c>
      <c r="G4" s="299"/>
      <c r="H4" s="315" t="s">
        <v>51</v>
      </c>
      <c r="I4" s="300"/>
    </row>
    <row r="5" spans="1:9" s="301" customFormat="1" ht="12.75">
      <c r="A5" s="302" t="s">
        <v>17</v>
      </c>
      <c r="B5" s="303" t="s">
        <v>52</v>
      </c>
      <c r="C5" s="304" t="s">
        <v>11</v>
      </c>
      <c r="D5" s="304" t="s">
        <v>16</v>
      </c>
      <c r="E5" s="304" t="s">
        <v>575</v>
      </c>
      <c r="F5" s="305" t="s">
        <v>22</v>
      </c>
      <c r="G5" s="306" t="s">
        <v>53</v>
      </c>
      <c r="H5" s="316" t="s">
        <v>54</v>
      </c>
      <c r="I5" s="307" t="s">
        <v>2</v>
      </c>
    </row>
    <row r="6" spans="1:9" s="309" customFormat="1" ht="12.75">
      <c r="A6" s="317"/>
      <c r="B6" s="318"/>
      <c r="C6" s="319"/>
      <c r="D6" s="320"/>
      <c r="E6" s="320"/>
      <c r="F6" s="321"/>
      <c r="G6" s="322"/>
      <c r="H6" s="323"/>
      <c r="I6" s="308"/>
    </row>
    <row r="7" spans="1:9" s="309" customFormat="1" ht="12.75" outlineLevel="1">
      <c r="A7" s="310"/>
      <c r="B7" s="311"/>
      <c r="D7" s="312" t="s">
        <v>39</v>
      </c>
      <c r="E7" s="310"/>
      <c r="F7" s="313"/>
      <c r="G7" s="313"/>
      <c r="H7" s="314">
        <v>0</v>
      </c>
      <c r="I7" s="313" t="e">
        <f>SUBTOTAL(9,#REF!)</f>
        <v>#REF!</v>
      </c>
    </row>
    <row r="8" spans="1:9" s="309" customFormat="1" ht="12.75" outlineLevel="1">
      <c r="A8" s="310"/>
      <c r="B8" s="311"/>
      <c r="D8" s="312"/>
      <c r="E8" s="310"/>
      <c r="F8" s="313"/>
      <c r="G8" s="313"/>
      <c r="H8" s="314"/>
      <c r="I8" s="313"/>
    </row>
    <row r="9" spans="1:9" s="309" customFormat="1" ht="12.75" outlineLevel="1">
      <c r="A9" s="310"/>
      <c r="B9" s="311"/>
      <c r="D9" s="310" t="s">
        <v>56</v>
      </c>
      <c r="E9" s="310"/>
      <c r="F9" s="313"/>
      <c r="G9" s="313"/>
      <c r="H9" s="314">
        <v>0</v>
      </c>
      <c r="I9" s="313" t="e">
        <f>SUBTOTAL(9,#REF!)</f>
        <v>#REF!</v>
      </c>
    </row>
    <row r="10" spans="1:9" s="309" customFormat="1" ht="12.75" outlineLevel="1">
      <c r="A10" s="310"/>
      <c r="B10" s="311"/>
      <c r="D10" s="310"/>
      <c r="E10" s="310"/>
      <c r="F10" s="313"/>
      <c r="G10" s="313"/>
      <c r="H10" s="314"/>
      <c r="I10" s="313"/>
    </row>
    <row r="11" spans="1:9" s="309" customFormat="1" ht="12.75" outlineLevel="1">
      <c r="A11" s="310"/>
      <c r="B11" s="311"/>
      <c r="D11" s="310" t="s">
        <v>57</v>
      </c>
      <c r="E11" s="310"/>
      <c r="F11" s="313"/>
      <c r="G11" s="313"/>
      <c r="H11" s="314">
        <v>0</v>
      </c>
      <c r="I11" s="313" t="e">
        <f>SUBTOTAL(9,#REF!)</f>
        <v>#REF!</v>
      </c>
    </row>
    <row r="12" spans="1:9" s="309" customFormat="1" ht="12.75" outlineLevel="1">
      <c r="A12" s="310"/>
      <c r="B12" s="311"/>
      <c r="D12" s="310"/>
      <c r="E12" s="310"/>
      <c r="F12" s="313"/>
      <c r="G12" s="313"/>
      <c r="H12" s="314"/>
      <c r="I12" s="313"/>
    </row>
    <row r="13" spans="1:9" s="309" customFormat="1" ht="12.75" outlineLevel="1">
      <c r="A13" s="310"/>
      <c r="B13" s="311"/>
      <c r="D13" s="310" t="s">
        <v>58</v>
      </c>
      <c r="E13" s="310"/>
      <c r="F13" s="313"/>
      <c r="G13" s="313"/>
      <c r="H13" s="314">
        <v>0</v>
      </c>
      <c r="I13" s="313" t="e">
        <f>SUBTOTAL(9,#REF!)</f>
        <v>#REF!</v>
      </c>
    </row>
    <row r="14" spans="1:9" s="309" customFormat="1" ht="12.75" outlineLevel="1">
      <c r="A14" s="310"/>
      <c r="B14" s="311"/>
      <c r="D14" s="310"/>
      <c r="E14" s="310"/>
      <c r="F14" s="313"/>
      <c r="G14" s="313"/>
      <c r="H14" s="314"/>
      <c r="I14" s="313"/>
    </row>
    <row r="15" spans="1:9" s="309" customFormat="1" ht="12.75" outlineLevel="1">
      <c r="A15" s="310"/>
      <c r="B15" s="311"/>
      <c r="D15" s="310" t="s">
        <v>59</v>
      </c>
      <c r="E15" s="310"/>
      <c r="F15" s="313"/>
      <c r="G15" s="313"/>
      <c r="H15" s="314">
        <v>0</v>
      </c>
      <c r="I15" s="313" t="e">
        <f>SUBTOTAL(9,#REF!)</f>
        <v>#REF!</v>
      </c>
    </row>
    <row r="16" spans="1:9" s="309" customFormat="1" ht="12.75" outlineLevel="1">
      <c r="A16" s="310"/>
      <c r="B16" s="311"/>
      <c r="D16" s="310"/>
      <c r="E16" s="310"/>
      <c r="F16" s="313"/>
      <c r="G16" s="313"/>
      <c r="H16" s="314"/>
      <c r="I16" s="313"/>
    </row>
    <row r="17" spans="1:9" s="309" customFormat="1" ht="12.75" outlineLevel="1">
      <c r="A17" s="310"/>
      <c r="B17" s="311"/>
      <c r="D17" s="310" t="s">
        <v>60</v>
      </c>
      <c r="E17" s="310"/>
      <c r="F17" s="313"/>
      <c r="G17" s="313"/>
      <c r="H17" s="314">
        <v>0</v>
      </c>
      <c r="I17" s="313" t="e">
        <f>SUBTOTAL(9,#REF!)</f>
        <v>#REF!</v>
      </c>
    </row>
    <row r="18" spans="1:9" s="309" customFormat="1" ht="12.75" outlineLevel="1">
      <c r="A18" s="310"/>
      <c r="B18" s="311"/>
      <c r="D18" s="310"/>
      <c r="E18" s="310"/>
      <c r="F18" s="313"/>
      <c r="G18" s="313"/>
      <c r="H18" s="314"/>
      <c r="I18" s="313"/>
    </row>
    <row r="19" spans="1:9" s="309" customFormat="1" ht="12.75" outlineLevel="1">
      <c r="A19" s="310"/>
      <c r="B19" s="311"/>
      <c r="D19" s="310" t="s">
        <v>185</v>
      </c>
      <c r="E19" s="310"/>
      <c r="F19" s="313"/>
      <c r="G19" s="313"/>
      <c r="H19" s="314">
        <v>0</v>
      </c>
      <c r="I19" s="313" t="e">
        <f>SUBTOTAL(9,#REF!)</f>
        <v>#REF!</v>
      </c>
    </row>
    <row r="20" spans="1:9" s="309" customFormat="1" ht="12.75" outlineLevel="1">
      <c r="A20" s="310"/>
      <c r="B20" s="311"/>
      <c r="D20" s="310"/>
      <c r="E20" s="310"/>
      <c r="F20" s="313"/>
      <c r="G20" s="313"/>
      <c r="H20" s="314"/>
      <c r="I20" s="313"/>
    </row>
    <row r="21" spans="1:9" s="309" customFormat="1" ht="12.75" outlineLevel="1">
      <c r="A21" s="310"/>
      <c r="B21" s="311"/>
      <c r="D21" s="310" t="s">
        <v>105</v>
      </c>
      <c r="E21" s="310"/>
      <c r="F21" s="313"/>
      <c r="G21" s="313"/>
      <c r="H21" s="314">
        <v>0</v>
      </c>
      <c r="I21" s="313"/>
    </row>
    <row r="22" spans="1:9" s="309" customFormat="1" ht="12.75" outlineLevel="1">
      <c r="A22" s="310"/>
      <c r="B22" s="311"/>
      <c r="D22" s="310"/>
      <c r="E22" s="310"/>
      <c r="F22" s="313"/>
      <c r="G22" s="313"/>
      <c r="H22" s="314"/>
      <c r="I22" s="313"/>
    </row>
    <row r="23" spans="1:9" s="309" customFormat="1" ht="12.75">
      <c r="A23" s="310"/>
      <c r="B23" s="311"/>
      <c r="D23" s="310" t="s">
        <v>48</v>
      </c>
      <c r="E23" s="310"/>
      <c r="F23" s="313">
        <f>SUBTOTAL(9,F7:F19)</f>
        <v>0</v>
      </c>
      <c r="G23" s="313">
        <f>SUBTOTAL(9,G7:G19)</f>
        <v>0</v>
      </c>
      <c r="H23" s="314">
        <f>SUBTOTAL(9,H7:H21)</f>
        <v>0</v>
      </c>
      <c r="I23" s="313">
        <f>SUBTOTAL(9,I7:I19)</f>
        <v>0</v>
      </c>
    </row>
  </sheetData>
  <printOptions/>
  <pageMargins left="0.75" right="0.75" top="0.52" bottom="0.54" header="0.5" footer="0.5"/>
  <pageSetup fitToHeight="1" fitToWidth="1" horizontalDpi="1200" verticalDpi="1200" orientation="portrait" scale="72" r:id="rId1"/>
  <headerFooter alignWithMargins="0">
    <oddFooter>&amp;C&amp;T  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4"/>
  <sheetViews>
    <sheetView zoomScale="75" zoomScaleNormal="75" workbookViewId="0" topLeftCell="A1">
      <selection activeCell="A33" sqref="A33"/>
    </sheetView>
  </sheetViews>
  <sheetFormatPr defaultColWidth="9.140625" defaultRowHeight="12.75"/>
  <cols>
    <col min="1" max="1" width="25.00390625" style="52" customWidth="1"/>
    <col min="2" max="2" width="23.57421875" style="52" customWidth="1"/>
    <col min="3" max="3" width="20.28125" style="52" customWidth="1"/>
    <col min="4" max="4" width="15.28125" style="53" customWidth="1"/>
    <col min="5" max="5" width="10.140625" style="43" hidden="1" customWidth="1"/>
    <col min="6" max="6" width="0" style="43" hidden="1" customWidth="1"/>
    <col min="7" max="7" width="11.00390625" style="43" hidden="1" customWidth="1"/>
    <col min="8" max="8" width="16.28125" style="42" customWidth="1"/>
    <col min="9" max="16384" width="9.140625" style="43" customWidth="1"/>
  </cols>
  <sheetData>
    <row r="1" spans="1:6" s="41" customFormat="1" ht="18">
      <c r="A1" s="324" t="s">
        <v>165</v>
      </c>
      <c r="B1" s="38"/>
      <c r="C1" s="38"/>
      <c r="D1" s="39"/>
      <c r="E1" s="40"/>
      <c r="F1" s="40"/>
    </row>
    <row r="2" spans="1:8" s="41" customFormat="1" ht="15.75">
      <c r="A2" s="38"/>
      <c r="B2" s="38"/>
      <c r="C2" s="38"/>
      <c r="D2" s="39"/>
      <c r="E2" s="40"/>
      <c r="F2" s="40"/>
      <c r="H2" s="122"/>
    </row>
    <row r="3" spans="1:8" s="87" customFormat="1" ht="12.75">
      <c r="A3" s="91" t="s">
        <v>17</v>
      </c>
      <c r="B3" s="91" t="s">
        <v>11</v>
      </c>
      <c r="C3" s="91" t="s">
        <v>16</v>
      </c>
      <c r="D3" s="325" t="s">
        <v>29</v>
      </c>
      <c r="E3" s="326"/>
      <c r="F3" s="327"/>
      <c r="H3" s="328" t="s">
        <v>174</v>
      </c>
    </row>
    <row r="4" spans="1:8" s="87" customFormat="1" ht="12.75">
      <c r="A4" s="91"/>
      <c r="B4" s="91"/>
      <c r="C4" s="91"/>
      <c r="D4" s="325"/>
      <c r="E4" s="326"/>
      <c r="F4" s="327"/>
      <c r="H4" s="328"/>
    </row>
    <row r="5" spans="1:8" s="87" customFormat="1" ht="12.75">
      <c r="A5" s="93"/>
      <c r="B5" s="93"/>
      <c r="C5" s="93"/>
      <c r="D5" s="329"/>
      <c r="E5" s="326"/>
      <c r="F5" s="330"/>
      <c r="H5" s="331"/>
    </row>
    <row r="6" spans="1:8" s="87" customFormat="1" ht="12.75">
      <c r="A6" s="91" t="s">
        <v>41</v>
      </c>
      <c r="B6" s="91"/>
      <c r="C6" s="91"/>
      <c r="D6" s="325"/>
      <c r="E6" s="326"/>
      <c r="F6" s="327"/>
      <c r="H6" s="327">
        <f>SUM(D4:D5)</f>
        <v>0</v>
      </c>
    </row>
    <row r="7" spans="1:8" s="87" customFormat="1" ht="12.75">
      <c r="A7" s="91"/>
      <c r="B7" s="91"/>
      <c r="C7" s="91"/>
      <c r="D7" s="325"/>
      <c r="E7" s="326"/>
      <c r="F7" s="327"/>
      <c r="H7" s="327"/>
    </row>
    <row r="8" spans="1:8" s="87" customFormat="1" ht="12.75">
      <c r="A8" s="93"/>
      <c r="B8" s="93"/>
      <c r="C8" s="93"/>
      <c r="D8" s="329"/>
      <c r="E8" s="326"/>
      <c r="F8" s="330"/>
      <c r="H8" s="331"/>
    </row>
    <row r="9" spans="1:8" s="87" customFormat="1" ht="12.75">
      <c r="A9" s="91" t="s">
        <v>39</v>
      </c>
      <c r="B9" s="91"/>
      <c r="C9" s="91"/>
      <c r="D9" s="325"/>
      <c r="E9" s="326"/>
      <c r="F9" s="327"/>
      <c r="H9" s="327">
        <f>SUM(D7:D8)</f>
        <v>0</v>
      </c>
    </row>
    <row r="10" spans="1:8" s="87" customFormat="1" ht="12.75">
      <c r="A10" s="91"/>
      <c r="B10" s="91"/>
      <c r="C10" s="91"/>
      <c r="D10" s="325"/>
      <c r="E10" s="326"/>
      <c r="F10" s="327"/>
      <c r="H10" s="328"/>
    </row>
    <row r="11" spans="1:8" s="87" customFormat="1" ht="12.75">
      <c r="A11" s="91" t="s">
        <v>42</v>
      </c>
      <c r="B11" s="91"/>
      <c r="C11" s="91"/>
      <c r="D11" s="325"/>
      <c r="E11" s="326"/>
      <c r="F11" s="327"/>
      <c r="H11" s="327">
        <f>SUM(D10:D10)</f>
        <v>0</v>
      </c>
    </row>
    <row r="12" spans="1:8" s="87" customFormat="1" ht="12.75">
      <c r="A12" s="91"/>
      <c r="B12" s="91"/>
      <c r="C12" s="91"/>
      <c r="D12" s="325"/>
      <c r="E12" s="326"/>
      <c r="F12" s="327"/>
      <c r="H12" s="328"/>
    </row>
    <row r="13" spans="1:8" s="87" customFormat="1" ht="12.75">
      <c r="A13" s="93"/>
      <c r="B13" s="93"/>
      <c r="C13" s="93"/>
      <c r="D13" s="329"/>
      <c r="E13" s="326"/>
      <c r="F13" s="330"/>
      <c r="H13" s="331"/>
    </row>
    <row r="14" spans="1:8" s="77" customFormat="1" ht="12.75">
      <c r="A14" s="91" t="s">
        <v>43</v>
      </c>
      <c r="B14" s="91"/>
      <c r="C14" s="91"/>
      <c r="D14" s="332"/>
      <c r="H14" s="333">
        <f>SUM(D12:D13)</f>
        <v>0</v>
      </c>
    </row>
    <row r="15" spans="1:4" s="77" customFormat="1" ht="12.75">
      <c r="A15" s="91"/>
      <c r="B15" s="91"/>
      <c r="C15" s="91"/>
      <c r="D15" s="332"/>
    </row>
    <row r="16" spans="1:8" s="77" customFormat="1" ht="12.75">
      <c r="A16" s="91" t="s">
        <v>44</v>
      </c>
      <c r="B16" s="91"/>
      <c r="C16" s="91"/>
      <c r="D16" s="332"/>
      <c r="E16" s="334"/>
      <c r="F16" s="327"/>
      <c r="H16" s="333">
        <f>SUM(D15:D15)</f>
        <v>0</v>
      </c>
    </row>
    <row r="17" spans="1:6" s="77" customFormat="1" ht="12.75">
      <c r="A17" s="91"/>
      <c r="B17" s="91"/>
      <c r="C17" s="91"/>
      <c r="D17" s="332"/>
      <c r="E17" s="334"/>
      <c r="F17" s="327"/>
    </row>
    <row r="18" spans="1:6" s="77" customFormat="1" ht="12.75">
      <c r="A18" s="91"/>
      <c r="B18" s="91"/>
      <c r="C18" s="91"/>
      <c r="D18" s="332"/>
      <c r="E18" s="334"/>
      <c r="F18" s="327"/>
    </row>
    <row r="19" spans="1:8" s="77" customFormat="1" ht="12.75">
      <c r="A19" s="91" t="s">
        <v>46</v>
      </c>
      <c r="B19" s="91"/>
      <c r="C19" s="91"/>
      <c r="D19" s="332"/>
      <c r="E19" s="334"/>
      <c r="F19" s="327"/>
      <c r="H19" s="333">
        <f>SUM(D17:D18)</f>
        <v>0</v>
      </c>
    </row>
    <row r="20" spans="1:6" s="77" customFormat="1" ht="12.75">
      <c r="A20" s="91"/>
      <c r="B20" s="91"/>
      <c r="C20" s="91"/>
      <c r="D20" s="332"/>
      <c r="E20" s="334"/>
      <c r="F20" s="327"/>
    </row>
    <row r="21" spans="1:6" s="77" customFormat="1" ht="12.75">
      <c r="A21" s="91"/>
      <c r="B21" s="91"/>
      <c r="C21" s="91"/>
      <c r="D21" s="332"/>
      <c r="E21" s="334"/>
      <c r="F21" s="327"/>
    </row>
    <row r="22" spans="1:8" s="77" customFormat="1" ht="12.75">
      <c r="A22" s="91" t="s">
        <v>105</v>
      </c>
      <c r="B22" s="91"/>
      <c r="C22" s="91"/>
      <c r="D22" s="332"/>
      <c r="E22" s="334"/>
      <c r="F22" s="327"/>
      <c r="H22" s="333">
        <f>SUM(D20:D21)</f>
        <v>0</v>
      </c>
    </row>
    <row r="23" spans="1:6" s="77" customFormat="1" ht="12.75">
      <c r="A23" s="91"/>
      <c r="B23" s="91"/>
      <c r="C23" s="91"/>
      <c r="D23" s="332"/>
      <c r="E23" s="334"/>
      <c r="F23" s="327"/>
    </row>
    <row r="24" spans="1:6" s="77" customFormat="1" ht="12.75">
      <c r="A24" s="91" t="s">
        <v>536</v>
      </c>
      <c r="B24" s="91"/>
      <c r="C24" s="91"/>
      <c r="D24" s="332"/>
      <c r="E24" s="334"/>
      <c r="F24" s="327"/>
    </row>
    <row r="25" spans="1:8" s="87" customFormat="1" ht="12.75">
      <c r="A25" s="93"/>
      <c r="B25" s="93"/>
      <c r="C25" s="93"/>
      <c r="D25" s="335"/>
      <c r="E25" s="336"/>
      <c r="F25" s="330"/>
      <c r="H25" s="333"/>
    </row>
    <row r="26" spans="1:8" s="87" customFormat="1" ht="12.75">
      <c r="A26" s="93"/>
      <c r="B26" s="93"/>
      <c r="C26" s="93"/>
      <c r="D26" s="335"/>
      <c r="E26" s="330"/>
      <c r="F26" s="330"/>
      <c r="H26" s="77"/>
    </row>
    <row r="27" spans="1:8" s="87" customFormat="1" ht="15" customHeight="1">
      <c r="A27" s="91" t="s">
        <v>49</v>
      </c>
      <c r="B27" s="93"/>
      <c r="C27" s="93"/>
      <c r="D27" s="335"/>
      <c r="E27" s="330"/>
      <c r="F27" s="330"/>
      <c r="H27" s="78">
        <f>SUM(H4:H25)</f>
        <v>0</v>
      </c>
    </row>
    <row r="28" spans="1:8" s="41" customFormat="1" ht="15.75">
      <c r="A28" s="48"/>
      <c r="B28" s="46"/>
      <c r="C28" s="46"/>
      <c r="D28" s="47"/>
      <c r="E28" s="40"/>
      <c r="F28" s="40"/>
      <c r="H28" s="122"/>
    </row>
    <row r="29" spans="1:8" s="41" customFormat="1" ht="15.75">
      <c r="A29" s="46"/>
      <c r="B29" s="46"/>
      <c r="C29" s="46"/>
      <c r="D29" s="47"/>
      <c r="E29" s="40"/>
      <c r="F29" s="40"/>
      <c r="H29" s="122"/>
    </row>
    <row r="30" spans="1:8" s="41" customFormat="1" ht="15.75">
      <c r="A30" s="46"/>
      <c r="B30" s="46"/>
      <c r="C30" s="46"/>
      <c r="D30" s="47"/>
      <c r="E30" s="40"/>
      <c r="F30" s="40"/>
      <c r="H30" s="124"/>
    </row>
    <row r="31" spans="1:8" s="41" customFormat="1" ht="15.75">
      <c r="A31" s="46"/>
      <c r="B31" s="46"/>
      <c r="C31" s="46"/>
      <c r="D31" s="47"/>
      <c r="E31" s="40"/>
      <c r="F31" s="40"/>
      <c r="H31" s="122"/>
    </row>
    <row r="32" spans="1:8" s="41" customFormat="1" ht="15.75">
      <c r="A32" s="48"/>
      <c r="B32" s="46"/>
      <c r="C32" s="46"/>
      <c r="D32" s="47"/>
      <c r="E32" s="40"/>
      <c r="F32" s="40"/>
      <c r="H32" s="122"/>
    </row>
    <row r="33" spans="2:8" s="41" customFormat="1" ht="15.75">
      <c r="B33" s="46"/>
      <c r="C33" s="46"/>
      <c r="D33" s="44"/>
      <c r="E33" s="125">
        <v>36659</v>
      </c>
      <c r="F33" s="45">
        <v>9</v>
      </c>
      <c r="G33" s="40">
        <v>54324</v>
      </c>
      <c r="H33" s="122"/>
    </row>
    <row r="34" spans="2:8" s="41" customFormat="1" ht="15.75">
      <c r="B34" s="46"/>
      <c r="C34" s="46"/>
      <c r="D34" s="44"/>
      <c r="E34" s="125">
        <v>36659</v>
      </c>
      <c r="F34" s="45">
        <v>9</v>
      </c>
      <c r="G34" s="40">
        <v>64320</v>
      </c>
      <c r="H34" s="122"/>
    </row>
    <row r="35" spans="2:8" s="41" customFormat="1" ht="15.75">
      <c r="B35" s="46"/>
      <c r="C35" s="46"/>
      <c r="D35" s="44"/>
      <c r="E35" s="125">
        <v>36659</v>
      </c>
      <c r="F35" s="45">
        <v>9</v>
      </c>
      <c r="G35" s="40">
        <v>50232</v>
      </c>
      <c r="H35" s="122"/>
    </row>
    <row r="36" spans="1:7" ht="15.75">
      <c r="A36" s="41"/>
      <c r="B36" s="46"/>
      <c r="C36" s="46"/>
      <c r="D36" s="44"/>
      <c r="E36" s="119">
        <v>36511</v>
      </c>
      <c r="F36" s="120">
        <v>9</v>
      </c>
      <c r="G36" s="121">
        <v>45660</v>
      </c>
    </row>
    <row r="37" spans="1:7" ht="15.75">
      <c r="A37" s="41"/>
      <c r="B37" s="46"/>
      <c r="C37" s="46"/>
      <c r="D37" s="44"/>
      <c r="E37" s="49">
        <v>36585</v>
      </c>
      <c r="F37" s="50">
        <v>11</v>
      </c>
      <c r="G37" s="51">
        <v>40248</v>
      </c>
    </row>
    <row r="38" spans="1:7" ht="15.75">
      <c r="A38" s="46"/>
      <c r="B38" s="46"/>
      <c r="C38" s="46"/>
      <c r="D38" s="47"/>
      <c r="E38" s="41"/>
      <c r="F38" s="41"/>
      <c r="G38" s="41"/>
    </row>
    <row r="39" spans="1:7" ht="15.75">
      <c r="A39" s="46"/>
      <c r="B39" s="46"/>
      <c r="C39" s="46"/>
      <c r="D39" s="47"/>
      <c r="E39" s="41"/>
      <c r="F39" s="41"/>
      <c r="G39" s="41"/>
    </row>
    <row r="40" spans="1:7" ht="15.75">
      <c r="A40" s="46"/>
      <c r="B40" s="46"/>
      <c r="C40" s="46"/>
      <c r="D40" s="47"/>
      <c r="E40" s="41"/>
      <c r="F40" s="41"/>
      <c r="G40" s="41"/>
    </row>
    <row r="41" spans="1:7" ht="15.75">
      <c r="A41" s="46"/>
      <c r="B41" s="46"/>
      <c r="C41" s="46"/>
      <c r="D41" s="47"/>
      <c r="E41" s="41"/>
      <c r="F41" s="41"/>
      <c r="G41" s="41"/>
    </row>
    <row r="42" spans="1:7" ht="15.75">
      <c r="A42" s="46"/>
      <c r="B42" s="46"/>
      <c r="C42" s="46"/>
      <c r="D42" s="47"/>
      <c r="E42" s="41"/>
      <c r="F42" s="41"/>
      <c r="G42" s="41"/>
    </row>
    <row r="43" spans="1:7" ht="15.75">
      <c r="A43" s="46"/>
      <c r="B43" s="46"/>
      <c r="C43" s="46"/>
      <c r="D43" s="47"/>
      <c r="E43" s="41"/>
      <c r="F43" s="41"/>
      <c r="G43" s="41"/>
    </row>
    <row r="44" spans="1:7" ht="15.75">
      <c r="A44" s="46"/>
      <c r="B44" s="46"/>
      <c r="C44" s="46"/>
      <c r="D44" s="47"/>
      <c r="E44" s="41"/>
      <c r="F44" s="41"/>
      <c r="G44" s="41"/>
    </row>
    <row r="45" spans="1:7" ht="15.75">
      <c r="A45" s="46"/>
      <c r="B45" s="46"/>
      <c r="C45" s="46"/>
      <c r="D45" s="47"/>
      <c r="E45" s="41"/>
      <c r="F45" s="41"/>
      <c r="G45" s="41"/>
    </row>
    <row r="46" spans="1:7" ht="15.75">
      <c r="A46" s="46"/>
      <c r="B46" s="46"/>
      <c r="C46" s="46"/>
      <c r="D46" s="47"/>
      <c r="E46" s="41"/>
      <c r="F46" s="41"/>
      <c r="G46" s="41"/>
    </row>
    <row r="47" spans="1:7" ht="15.75">
      <c r="A47" s="46"/>
      <c r="B47" s="46"/>
      <c r="C47" s="46"/>
      <c r="D47" s="47"/>
      <c r="E47" s="41"/>
      <c r="F47" s="41"/>
      <c r="G47" s="41"/>
    </row>
    <row r="48" spans="1:7" ht="15.75">
      <c r="A48" s="46"/>
      <c r="B48" s="46"/>
      <c r="C48" s="46"/>
      <c r="D48" s="47"/>
      <c r="E48" s="41"/>
      <c r="F48" s="41"/>
      <c r="G48" s="41"/>
    </row>
    <row r="49" spans="1:7" ht="15.75">
      <c r="A49" s="46"/>
      <c r="B49" s="46"/>
      <c r="C49" s="46"/>
      <c r="D49" s="47"/>
      <c r="E49" s="41"/>
      <c r="F49" s="41"/>
      <c r="G49" s="41"/>
    </row>
    <row r="50" spans="1:7" ht="15.75">
      <c r="A50" s="46"/>
      <c r="B50" s="46"/>
      <c r="C50" s="46"/>
      <c r="D50" s="47"/>
      <c r="E50" s="41"/>
      <c r="F50" s="41"/>
      <c r="G50" s="41"/>
    </row>
    <row r="51" spans="1:7" ht="15.75">
      <c r="A51" s="46"/>
      <c r="B51" s="46"/>
      <c r="C51" s="46"/>
      <c r="D51" s="47"/>
      <c r="E51" s="41"/>
      <c r="F51" s="41"/>
      <c r="G51" s="41"/>
    </row>
    <row r="52" spans="1:7" ht="15.75">
      <c r="A52" s="46"/>
      <c r="B52" s="46"/>
      <c r="C52" s="46"/>
      <c r="D52" s="47"/>
      <c r="E52" s="41"/>
      <c r="F52" s="41"/>
      <c r="G52" s="41"/>
    </row>
    <row r="53" spans="1:7" ht="15.75">
      <c r="A53" s="46"/>
      <c r="B53" s="46"/>
      <c r="C53" s="46"/>
      <c r="D53" s="47"/>
      <c r="E53" s="41"/>
      <c r="F53" s="41"/>
      <c r="G53" s="41"/>
    </row>
    <row r="54" spans="1:7" ht="15.75">
      <c r="A54" s="46"/>
      <c r="B54" s="46"/>
      <c r="C54" s="46"/>
      <c r="D54" s="47"/>
      <c r="E54" s="41"/>
      <c r="F54" s="41"/>
      <c r="G54" s="41"/>
    </row>
    <row r="55" spans="1:7" ht="15.75">
      <c r="A55" s="46"/>
      <c r="B55" s="46"/>
      <c r="C55" s="46"/>
      <c r="D55" s="47"/>
      <c r="E55" s="41"/>
      <c r="F55" s="41"/>
      <c r="G55" s="41"/>
    </row>
    <row r="56" spans="1:7" ht="15.75">
      <c r="A56" s="46"/>
      <c r="B56" s="46"/>
      <c r="C56" s="46"/>
      <c r="D56" s="47"/>
      <c r="E56" s="41"/>
      <c r="F56" s="41"/>
      <c r="G56" s="41"/>
    </row>
    <row r="57" spans="1:7" ht="15.75">
      <c r="A57" s="46"/>
      <c r="B57" s="46"/>
      <c r="C57" s="46"/>
      <c r="D57" s="47"/>
      <c r="E57" s="41"/>
      <c r="F57" s="41"/>
      <c r="G57" s="41"/>
    </row>
    <row r="58" spans="1:7" ht="15.75">
      <c r="A58" s="46"/>
      <c r="B58" s="46"/>
      <c r="C58" s="46"/>
      <c r="D58" s="47"/>
      <c r="E58" s="41"/>
      <c r="F58" s="41"/>
      <c r="G58" s="41"/>
    </row>
    <row r="59" spans="1:7" ht="15.75">
      <c r="A59" s="46"/>
      <c r="B59" s="46"/>
      <c r="C59" s="46"/>
      <c r="D59" s="47"/>
      <c r="E59" s="41"/>
      <c r="F59" s="41"/>
      <c r="G59" s="41"/>
    </row>
    <row r="60" spans="1:7" ht="15.75">
      <c r="A60" s="46"/>
      <c r="B60" s="46"/>
      <c r="C60" s="46"/>
      <c r="D60" s="47"/>
      <c r="E60" s="41"/>
      <c r="F60" s="41"/>
      <c r="G60" s="41"/>
    </row>
    <row r="61" spans="1:7" ht="15.75">
      <c r="A61" s="46"/>
      <c r="B61" s="46"/>
      <c r="C61" s="46"/>
      <c r="D61" s="47"/>
      <c r="E61" s="41"/>
      <c r="F61" s="41"/>
      <c r="G61" s="41"/>
    </row>
    <row r="62" spans="1:7" ht="15.75">
      <c r="A62" s="46"/>
      <c r="B62" s="46"/>
      <c r="C62" s="46"/>
      <c r="D62" s="47"/>
      <c r="E62" s="41"/>
      <c r="F62" s="41"/>
      <c r="G62" s="41"/>
    </row>
    <row r="63" spans="1:7" ht="15.75">
      <c r="A63" s="46"/>
      <c r="B63" s="46"/>
      <c r="C63" s="46"/>
      <c r="D63" s="47"/>
      <c r="E63" s="41"/>
      <c r="F63" s="41"/>
      <c r="G63" s="41"/>
    </row>
    <row r="64" spans="1:7" ht="15.75">
      <c r="A64" s="46"/>
      <c r="B64" s="46"/>
      <c r="C64" s="46"/>
      <c r="D64" s="47"/>
      <c r="E64" s="41"/>
      <c r="F64" s="41"/>
      <c r="G64" s="41"/>
    </row>
    <row r="65" spans="1:7" ht="15.75">
      <c r="A65" s="46"/>
      <c r="B65" s="46"/>
      <c r="C65" s="46"/>
      <c r="D65" s="47"/>
      <c r="E65" s="41"/>
      <c r="F65" s="41"/>
      <c r="G65" s="41"/>
    </row>
    <row r="66" spans="1:7" ht="15.75">
      <c r="A66" s="46"/>
      <c r="B66" s="46"/>
      <c r="C66" s="46"/>
      <c r="D66" s="47"/>
      <c r="E66" s="41"/>
      <c r="F66" s="41"/>
      <c r="G66" s="41"/>
    </row>
    <row r="67" spans="1:7" ht="15.75">
      <c r="A67" s="46"/>
      <c r="B67" s="46"/>
      <c r="C67" s="46"/>
      <c r="D67" s="47"/>
      <c r="E67" s="41"/>
      <c r="F67" s="41"/>
      <c r="G67" s="41"/>
    </row>
    <row r="68" spans="1:7" ht="15.75">
      <c r="A68" s="46"/>
      <c r="B68" s="46"/>
      <c r="C68" s="46"/>
      <c r="D68" s="47"/>
      <c r="E68" s="41"/>
      <c r="F68" s="41"/>
      <c r="G68" s="41"/>
    </row>
    <row r="69" spans="1:7" ht="15.75">
      <c r="A69" s="46"/>
      <c r="B69" s="46"/>
      <c r="C69" s="46"/>
      <c r="D69" s="47"/>
      <c r="E69" s="41"/>
      <c r="F69" s="41"/>
      <c r="G69" s="41"/>
    </row>
    <row r="70" spans="1:7" ht="15.75">
      <c r="A70" s="46"/>
      <c r="B70" s="46"/>
      <c r="C70" s="46"/>
      <c r="D70" s="47"/>
      <c r="E70" s="41"/>
      <c r="F70" s="41"/>
      <c r="G70" s="41"/>
    </row>
    <row r="71" spans="1:7" ht="15.75">
      <c r="A71" s="46"/>
      <c r="B71" s="46"/>
      <c r="C71" s="46"/>
      <c r="D71" s="47"/>
      <c r="E71" s="41"/>
      <c r="F71" s="41"/>
      <c r="G71" s="41"/>
    </row>
    <row r="72" spans="1:7" ht="15.75">
      <c r="A72" s="46"/>
      <c r="B72" s="46"/>
      <c r="C72" s="46"/>
      <c r="D72" s="47"/>
      <c r="E72" s="41"/>
      <c r="F72" s="41"/>
      <c r="G72" s="41"/>
    </row>
    <row r="73" spans="1:7" ht="15.75">
      <c r="A73" s="46"/>
      <c r="B73" s="46"/>
      <c r="C73" s="46"/>
      <c r="D73" s="47"/>
      <c r="E73" s="41"/>
      <c r="F73" s="41"/>
      <c r="G73" s="41"/>
    </row>
    <row r="74" spans="1:7" ht="15.75">
      <c r="A74" s="46"/>
      <c r="B74" s="46"/>
      <c r="C74" s="46"/>
      <c r="D74" s="47"/>
      <c r="E74" s="41"/>
      <c r="F74" s="41"/>
      <c r="G74" s="41"/>
    </row>
    <row r="75" spans="1:7" ht="15.75">
      <c r="A75" s="46"/>
      <c r="B75" s="46"/>
      <c r="C75" s="46"/>
      <c r="D75" s="47"/>
      <c r="E75" s="41"/>
      <c r="F75" s="41"/>
      <c r="G75" s="41"/>
    </row>
    <row r="76" spans="1:7" ht="15.75">
      <c r="A76" s="46"/>
      <c r="B76" s="46"/>
      <c r="C76" s="46"/>
      <c r="D76" s="47"/>
      <c r="E76" s="41"/>
      <c r="F76" s="41"/>
      <c r="G76" s="41"/>
    </row>
    <row r="77" spans="1:7" ht="15.75">
      <c r="A77" s="46"/>
      <c r="B77" s="46"/>
      <c r="C77" s="46"/>
      <c r="D77" s="47"/>
      <c r="E77" s="41"/>
      <c r="F77" s="41"/>
      <c r="G77" s="41"/>
    </row>
    <row r="78" spans="1:7" ht="15.75">
      <c r="A78" s="46"/>
      <c r="B78" s="46"/>
      <c r="C78" s="46"/>
      <c r="D78" s="47"/>
      <c r="E78" s="41"/>
      <c r="F78" s="41"/>
      <c r="G78" s="41"/>
    </row>
    <row r="79" spans="1:7" ht="15.75">
      <c r="A79" s="46"/>
      <c r="B79" s="46"/>
      <c r="C79" s="46"/>
      <c r="D79" s="47"/>
      <c r="E79" s="41"/>
      <c r="F79" s="41"/>
      <c r="G79" s="41"/>
    </row>
    <row r="80" spans="1:7" ht="15.75">
      <c r="A80" s="46"/>
      <c r="B80" s="46"/>
      <c r="C80" s="46"/>
      <c r="D80" s="47"/>
      <c r="E80" s="41"/>
      <c r="F80" s="41"/>
      <c r="G80" s="41"/>
    </row>
    <row r="81" spans="1:7" ht="15.75">
      <c r="A81" s="46"/>
      <c r="B81" s="46"/>
      <c r="C81" s="46"/>
      <c r="D81" s="47"/>
      <c r="E81" s="41"/>
      <c r="F81" s="41"/>
      <c r="G81" s="41"/>
    </row>
    <row r="82" spans="1:7" ht="15.75">
      <c r="A82" s="46"/>
      <c r="B82" s="46"/>
      <c r="C82" s="46"/>
      <c r="D82" s="47"/>
      <c r="E82" s="41"/>
      <c r="F82" s="41"/>
      <c r="G82" s="41"/>
    </row>
    <row r="83" spans="1:7" ht="15.75">
      <c r="A83" s="46"/>
      <c r="B83" s="46"/>
      <c r="C83" s="46"/>
      <c r="D83" s="47"/>
      <c r="E83" s="41"/>
      <c r="F83" s="41"/>
      <c r="G83" s="41"/>
    </row>
    <row r="84" spans="1:7" ht="15.75">
      <c r="A84" s="46"/>
      <c r="B84" s="46"/>
      <c r="C84" s="46"/>
      <c r="D84" s="47"/>
      <c r="E84" s="41"/>
      <c r="F84" s="41"/>
      <c r="G84" s="41"/>
    </row>
    <row r="85" spans="1:7" ht="15.75">
      <c r="A85" s="46"/>
      <c r="B85" s="46"/>
      <c r="C85" s="46"/>
      <c r="D85" s="47"/>
      <c r="E85" s="41"/>
      <c r="F85" s="41"/>
      <c r="G85" s="41"/>
    </row>
    <row r="86" spans="1:7" ht="15.75">
      <c r="A86" s="46"/>
      <c r="B86" s="46"/>
      <c r="C86" s="46"/>
      <c r="D86" s="47"/>
      <c r="E86" s="41"/>
      <c r="F86" s="41"/>
      <c r="G86" s="41"/>
    </row>
    <row r="87" spans="1:7" ht="15.75">
      <c r="A87" s="46"/>
      <c r="B87" s="46"/>
      <c r="C87" s="46"/>
      <c r="D87" s="47"/>
      <c r="E87" s="41"/>
      <c r="F87" s="41"/>
      <c r="G87" s="41"/>
    </row>
    <row r="88" spans="1:7" ht="15.75">
      <c r="A88" s="46"/>
      <c r="B88" s="46"/>
      <c r="C88" s="46"/>
      <c r="D88" s="47"/>
      <c r="E88" s="41"/>
      <c r="F88" s="41"/>
      <c r="G88" s="41"/>
    </row>
    <row r="89" spans="1:7" ht="15.75">
      <c r="A89" s="46"/>
      <c r="B89" s="46"/>
      <c r="C89" s="46"/>
      <c r="D89" s="47"/>
      <c r="E89" s="41"/>
      <c r="F89" s="41"/>
      <c r="G89" s="41"/>
    </row>
    <row r="90" spans="1:7" ht="15.75">
      <c r="A90" s="46"/>
      <c r="B90" s="46"/>
      <c r="C90" s="46"/>
      <c r="D90" s="47"/>
      <c r="E90" s="41"/>
      <c r="F90" s="41"/>
      <c r="G90" s="41"/>
    </row>
    <row r="91" spans="1:7" ht="15.75">
      <c r="A91" s="46"/>
      <c r="B91" s="46"/>
      <c r="C91" s="46"/>
      <c r="D91" s="47"/>
      <c r="E91" s="41"/>
      <c r="F91" s="41"/>
      <c r="G91" s="41"/>
    </row>
    <row r="92" spans="1:7" ht="15.75">
      <c r="A92" s="46"/>
      <c r="B92" s="46"/>
      <c r="C92" s="46"/>
      <c r="D92" s="47"/>
      <c r="E92" s="41"/>
      <c r="F92" s="41"/>
      <c r="G92" s="41"/>
    </row>
    <row r="93" spans="1:7" ht="15.75">
      <c r="A93" s="46"/>
      <c r="B93" s="46"/>
      <c r="C93" s="46"/>
      <c r="D93" s="47"/>
      <c r="E93" s="41"/>
      <c r="F93" s="41"/>
      <c r="G93" s="41"/>
    </row>
    <row r="94" spans="1:7" ht="15.75">
      <c r="A94" s="46"/>
      <c r="B94" s="46"/>
      <c r="C94" s="46"/>
      <c r="D94" s="47"/>
      <c r="E94" s="41"/>
      <c r="F94" s="41"/>
      <c r="G94" s="41"/>
    </row>
    <row r="95" spans="1:7" ht="15.75">
      <c r="A95" s="46"/>
      <c r="B95" s="46"/>
      <c r="C95" s="46"/>
      <c r="D95" s="47"/>
      <c r="E95" s="41"/>
      <c r="F95" s="41"/>
      <c r="G95" s="41"/>
    </row>
    <row r="96" spans="1:7" ht="15.75">
      <c r="A96" s="46"/>
      <c r="B96" s="46"/>
      <c r="C96" s="46"/>
      <c r="D96" s="47"/>
      <c r="E96" s="41"/>
      <c r="F96" s="41"/>
      <c r="G96" s="41"/>
    </row>
    <row r="97" spans="1:7" ht="15.75">
      <c r="A97" s="46"/>
      <c r="B97" s="46"/>
      <c r="C97" s="46"/>
      <c r="D97" s="47"/>
      <c r="E97" s="41"/>
      <c r="F97" s="41"/>
      <c r="G97" s="41"/>
    </row>
    <row r="98" spans="1:7" ht="15.75">
      <c r="A98" s="46"/>
      <c r="B98" s="46"/>
      <c r="C98" s="46"/>
      <c r="D98" s="47"/>
      <c r="E98" s="41"/>
      <c r="F98" s="41"/>
      <c r="G98" s="41"/>
    </row>
    <row r="99" spans="1:7" ht="15.75">
      <c r="A99" s="46"/>
      <c r="B99" s="46"/>
      <c r="C99" s="46"/>
      <c r="D99" s="47"/>
      <c r="E99" s="41"/>
      <c r="F99" s="41"/>
      <c r="G99" s="41"/>
    </row>
    <row r="100" spans="1:7" ht="15.75">
      <c r="A100" s="46"/>
      <c r="B100" s="46"/>
      <c r="C100" s="46"/>
      <c r="D100" s="47"/>
      <c r="E100" s="41"/>
      <c r="F100" s="41"/>
      <c r="G100" s="41"/>
    </row>
    <row r="101" spans="1:7" ht="15.75">
      <c r="A101" s="46"/>
      <c r="B101" s="46"/>
      <c r="C101" s="46"/>
      <c r="D101" s="47"/>
      <c r="E101" s="41"/>
      <c r="F101" s="41"/>
      <c r="G101" s="41"/>
    </row>
    <row r="102" spans="1:7" ht="15.75">
      <c r="A102" s="46"/>
      <c r="B102" s="46"/>
      <c r="C102" s="46"/>
      <c r="D102" s="47"/>
      <c r="E102" s="41"/>
      <c r="F102" s="41"/>
      <c r="G102" s="41"/>
    </row>
    <row r="103" spans="1:7" ht="15.75">
      <c r="A103" s="46"/>
      <c r="B103" s="46"/>
      <c r="C103" s="46"/>
      <c r="D103" s="47"/>
      <c r="E103" s="41"/>
      <c r="F103" s="41"/>
      <c r="G103" s="41"/>
    </row>
    <row r="104" spans="1:7" ht="15.75">
      <c r="A104" s="46"/>
      <c r="B104" s="46"/>
      <c r="C104" s="46"/>
      <c r="D104" s="47"/>
      <c r="E104" s="41"/>
      <c r="F104" s="41"/>
      <c r="G104" s="41"/>
    </row>
    <row r="105" spans="1:7" ht="15.75">
      <c r="A105" s="46"/>
      <c r="B105" s="46"/>
      <c r="C105" s="46"/>
      <c r="D105" s="47"/>
      <c r="E105" s="41"/>
      <c r="F105" s="41"/>
      <c r="G105" s="41"/>
    </row>
    <row r="106" spans="1:7" ht="15.75">
      <c r="A106" s="46"/>
      <c r="B106" s="46"/>
      <c r="C106" s="46"/>
      <c r="D106" s="47"/>
      <c r="E106" s="41"/>
      <c r="F106" s="41"/>
      <c r="G106" s="41"/>
    </row>
    <row r="107" spans="1:7" ht="15.75">
      <c r="A107" s="46"/>
      <c r="B107" s="46"/>
      <c r="C107" s="46"/>
      <c r="D107" s="47"/>
      <c r="E107" s="41"/>
      <c r="F107" s="41"/>
      <c r="G107" s="41"/>
    </row>
    <row r="108" spans="1:7" ht="15.75">
      <c r="A108" s="46"/>
      <c r="B108" s="46"/>
      <c r="C108" s="46"/>
      <c r="D108" s="47"/>
      <c r="E108" s="41"/>
      <c r="F108" s="41"/>
      <c r="G108" s="41"/>
    </row>
    <row r="109" spans="1:7" ht="15.75">
      <c r="A109" s="46"/>
      <c r="B109" s="46"/>
      <c r="C109" s="46"/>
      <c r="D109" s="47"/>
      <c r="E109" s="41"/>
      <c r="F109" s="41"/>
      <c r="G109" s="41"/>
    </row>
    <row r="110" spans="1:7" ht="15.75">
      <c r="A110" s="46"/>
      <c r="B110" s="46"/>
      <c r="C110" s="46"/>
      <c r="D110" s="47"/>
      <c r="E110" s="41"/>
      <c r="F110" s="41"/>
      <c r="G110" s="41"/>
    </row>
    <row r="111" spans="1:7" ht="15.75">
      <c r="A111" s="46"/>
      <c r="B111" s="46"/>
      <c r="C111" s="46"/>
      <c r="D111" s="47"/>
      <c r="E111" s="41"/>
      <c r="F111" s="41"/>
      <c r="G111" s="41"/>
    </row>
    <row r="112" spans="1:7" ht="15.75">
      <c r="A112" s="46"/>
      <c r="B112" s="46"/>
      <c r="C112" s="46"/>
      <c r="D112" s="47"/>
      <c r="E112" s="41"/>
      <c r="F112" s="41"/>
      <c r="G112" s="41"/>
    </row>
    <row r="113" spans="1:7" ht="15.75">
      <c r="A113" s="46"/>
      <c r="B113" s="46"/>
      <c r="C113" s="46"/>
      <c r="D113" s="47"/>
      <c r="E113" s="41"/>
      <c r="F113" s="41"/>
      <c r="G113" s="41"/>
    </row>
    <row r="114" spans="1:7" ht="15.75">
      <c r="A114" s="46"/>
      <c r="B114" s="46"/>
      <c r="C114" s="46"/>
      <c r="D114" s="47"/>
      <c r="E114" s="41"/>
      <c r="F114" s="41"/>
      <c r="G114" s="41"/>
    </row>
    <row r="115" spans="1:7" ht="15.75">
      <c r="A115" s="46"/>
      <c r="B115" s="46"/>
      <c r="C115" s="46"/>
      <c r="D115" s="47"/>
      <c r="E115" s="41"/>
      <c r="F115" s="41"/>
      <c r="G115" s="41"/>
    </row>
    <row r="116" spans="1:7" ht="15.75">
      <c r="A116" s="46"/>
      <c r="B116" s="46"/>
      <c r="C116" s="46"/>
      <c r="D116" s="47"/>
      <c r="E116" s="41"/>
      <c r="F116" s="41"/>
      <c r="G116" s="41"/>
    </row>
    <row r="117" spans="1:7" ht="15.75">
      <c r="A117" s="46"/>
      <c r="B117" s="46"/>
      <c r="C117" s="46"/>
      <c r="D117" s="47"/>
      <c r="E117" s="41"/>
      <c r="F117" s="41"/>
      <c r="G117" s="41"/>
    </row>
    <row r="118" spans="1:7" ht="15.75">
      <c r="A118" s="46"/>
      <c r="B118" s="46"/>
      <c r="C118" s="46"/>
      <c r="D118" s="47"/>
      <c r="E118" s="41"/>
      <c r="F118" s="41"/>
      <c r="G118" s="41"/>
    </row>
    <row r="119" spans="1:7" ht="15.75">
      <c r="A119" s="46"/>
      <c r="B119" s="46"/>
      <c r="C119" s="46"/>
      <c r="D119" s="47"/>
      <c r="E119" s="41"/>
      <c r="F119" s="41"/>
      <c r="G119" s="41"/>
    </row>
    <row r="120" spans="1:7" ht="15.75">
      <c r="A120" s="46"/>
      <c r="B120" s="46"/>
      <c r="C120" s="46"/>
      <c r="D120" s="47"/>
      <c r="E120" s="41"/>
      <c r="F120" s="41"/>
      <c r="G120" s="41"/>
    </row>
    <row r="121" spans="1:7" ht="15.75">
      <c r="A121" s="46"/>
      <c r="B121" s="46"/>
      <c r="C121" s="46"/>
      <c r="D121" s="47"/>
      <c r="E121" s="41"/>
      <c r="F121" s="41"/>
      <c r="G121" s="41"/>
    </row>
    <row r="122" spans="1:7" ht="15.75">
      <c r="A122" s="46"/>
      <c r="B122" s="46"/>
      <c r="C122" s="46"/>
      <c r="D122" s="47"/>
      <c r="E122" s="41"/>
      <c r="F122" s="41"/>
      <c r="G122" s="41"/>
    </row>
    <row r="123" spans="1:7" ht="15.75">
      <c r="A123" s="46"/>
      <c r="B123" s="46"/>
      <c r="C123" s="46"/>
      <c r="D123" s="47"/>
      <c r="E123" s="41"/>
      <c r="F123" s="41"/>
      <c r="G123" s="41"/>
    </row>
    <row r="124" spans="1:7" ht="15.75">
      <c r="A124" s="46"/>
      <c r="B124" s="46"/>
      <c r="C124" s="46"/>
      <c r="D124" s="47"/>
      <c r="E124" s="41"/>
      <c r="F124" s="41"/>
      <c r="G124" s="41"/>
    </row>
    <row r="125" spans="1:7" ht="15.75">
      <c r="A125" s="46"/>
      <c r="B125" s="46"/>
      <c r="C125" s="46"/>
      <c r="D125" s="47"/>
      <c r="E125" s="41"/>
      <c r="F125" s="41"/>
      <c r="G125" s="41"/>
    </row>
    <row r="126" spans="1:7" ht="15.75">
      <c r="A126" s="46"/>
      <c r="B126" s="46"/>
      <c r="C126" s="46"/>
      <c r="D126" s="47"/>
      <c r="E126" s="41"/>
      <c r="F126" s="41"/>
      <c r="G126" s="41"/>
    </row>
    <row r="127" spans="1:7" ht="15.75">
      <c r="A127" s="46"/>
      <c r="B127" s="46"/>
      <c r="C127" s="46"/>
      <c r="D127" s="47"/>
      <c r="E127" s="41"/>
      <c r="F127" s="41"/>
      <c r="G127" s="41"/>
    </row>
    <row r="128" spans="1:7" ht="15.75">
      <c r="A128" s="46"/>
      <c r="B128" s="46"/>
      <c r="C128" s="46"/>
      <c r="D128" s="47"/>
      <c r="E128" s="41"/>
      <c r="F128" s="41"/>
      <c r="G128" s="41"/>
    </row>
    <row r="129" spans="1:7" ht="15.75">
      <c r="A129" s="46"/>
      <c r="B129" s="46"/>
      <c r="C129" s="46"/>
      <c r="D129" s="47"/>
      <c r="E129" s="41"/>
      <c r="F129" s="41"/>
      <c r="G129" s="41"/>
    </row>
    <row r="130" spans="1:7" ht="15.75">
      <c r="A130" s="46"/>
      <c r="B130" s="46"/>
      <c r="C130" s="46"/>
      <c r="D130" s="47"/>
      <c r="E130" s="41"/>
      <c r="F130" s="41"/>
      <c r="G130" s="41"/>
    </row>
    <row r="131" spans="1:7" ht="15.75">
      <c r="A131" s="46"/>
      <c r="B131" s="46"/>
      <c r="C131" s="46"/>
      <c r="D131" s="47"/>
      <c r="E131" s="41"/>
      <c r="F131" s="41"/>
      <c r="G131" s="41"/>
    </row>
    <row r="132" spans="1:7" ht="15.75">
      <c r="A132" s="46"/>
      <c r="B132" s="46"/>
      <c r="C132" s="46"/>
      <c r="D132" s="47"/>
      <c r="E132" s="41"/>
      <c r="F132" s="41"/>
      <c r="G132" s="41"/>
    </row>
    <row r="133" spans="1:7" ht="15.75">
      <c r="A133" s="46"/>
      <c r="B133" s="46"/>
      <c r="C133" s="46"/>
      <c r="D133" s="47"/>
      <c r="E133" s="41"/>
      <c r="F133" s="41"/>
      <c r="G133" s="41"/>
    </row>
    <row r="134" spans="1:7" ht="15.75">
      <c r="A134" s="46"/>
      <c r="B134" s="46"/>
      <c r="C134" s="46"/>
      <c r="D134" s="47"/>
      <c r="E134" s="41"/>
      <c r="F134" s="41"/>
      <c r="G134" s="41"/>
    </row>
    <row r="135" spans="1:7" ht="15.75">
      <c r="A135" s="46"/>
      <c r="B135" s="46"/>
      <c r="C135" s="46"/>
      <c r="D135" s="47"/>
      <c r="E135" s="41"/>
      <c r="F135" s="41"/>
      <c r="G135" s="41"/>
    </row>
    <row r="136" spans="1:7" ht="15.75">
      <c r="A136" s="46"/>
      <c r="B136" s="46"/>
      <c r="C136" s="46"/>
      <c r="D136" s="47"/>
      <c r="E136" s="41"/>
      <c r="F136" s="41"/>
      <c r="G136" s="41"/>
    </row>
    <row r="137" spans="1:7" ht="15.75">
      <c r="A137" s="46"/>
      <c r="B137" s="46"/>
      <c r="C137" s="46"/>
      <c r="D137" s="47"/>
      <c r="E137" s="41"/>
      <c r="F137" s="41"/>
      <c r="G137" s="41"/>
    </row>
    <row r="138" spans="1:7" ht="15.75">
      <c r="A138" s="46"/>
      <c r="B138" s="46"/>
      <c r="C138" s="46"/>
      <c r="D138" s="47"/>
      <c r="E138" s="41"/>
      <c r="F138" s="41"/>
      <c r="G138" s="41"/>
    </row>
    <row r="139" spans="1:7" ht="15.75">
      <c r="A139" s="46"/>
      <c r="B139" s="46"/>
      <c r="C139" s="46"/>
      <c r="D139" s="47"/>
      <c r="E139" s="41"/>
      <c r="F139" s="41"/>
      <c r="G139" s="41"/>
    </row>
    <row r="140" spans="1:7" ht="15.75">
      <c r="A140" s="46"/>
      <c r="B140" s="46"/>
      <c r="C140" s="46"/>
      <c r="D140" s="47"/>
      <c r="E140" s="41"/>
      <c r="F140" s="41"/>
      <c r="G140" s="41"/>
    </row>
    <row r="141" spans="1:7" ht="15.75">
      <c r="A141" s="46"/>
      <c r="B141" s="46"/>
      <c r="C141" s="46"/>
      <c r="D141" s="47"/>
      <c r="E141" s="41"/>
      <c r="F141" s="41"/>
      <c r="G141" s="41"/>
    </row>
    <row r="142" spans="1:7" ht="15.75">
      <c r="A142" s="46"/>
      <c r="B142" s="46"/>
      <c r="C142" s="46"/>
      <c r="D142" s="47"/>
      <c r="E142" s="41"/>
      <c r="F142" s="41"/>
      <c r="G142" s="41"/>
    </row>
    <row r="143" spans="1:7" ht="15.75">
      <c r="A143" s="46"/>
      <c r="B143" s="46"/>
      <c r="C143" s="46"/>
      <c r="D143" s="47"/>
      <c r="E143" s="41"/>
      <c r="F143" s="41"/>
      <c r="G143" s="41"/>
    </row>
    <row r="144" spans="1:7" ht="15.75">
      <c r="A144" s="46"/>
      <c r="B144" s="46"/>
      <c r="C144" s="46"/>
      <c r="D144" s="47"/>
      <c r="E144" s="41"/>
      <c r="F144" s="41"/>
      <c r="G144" s="41"/>
    </row>
    <row r="145" spans="1:7" ht="15.75">
      <c r="A145" s="46"/>
      <c r="B145" s="46"/>
      <c r="C145" s="46"/>
      <c r="D145" s="47"/>
      <c r="E145" s="41"/>
      <c r="F145" s="41"/>
      <c r="G145" s="41"/>
    </row>
    <row r="146" spans="1:7" ht="15.75">
      <c r="A146" s="46"/>
      <c r="B146" s="46"/>
      <c r="C146" s="46"/>
      <c r="D146" s="47"/>
      <c r="E146" s="41"/>
      <c r="F146" s="41"/>
      <c r="G146" s="41"/>
    </row>
    <row r="147" spans="1:7" ht="15.75">
      <c r="A147" s="46"/>
      <c r="B147" s="46"/>
      <c r="C147" s="46"/>
      <c r="D147" s="47"/>
      <c r="E147" s="41"/>
      <c r="F147" s="41"/>
      <c r="G147" s="41"/>
    </row>
    <row r="148" spans="1:7" ht="15.75">
      <c r="A148" s="46"/>
      <c r="B148" s="46"/>
      <c r="C148" s="46"/>
      <c r="D148" s="47"/>
      <c r="E148" s="41"/>
      <c r="F148" s="41"/>
      <c r="G148" s="41"/>
    </row>
    <row r="149" spans="1:7" ht="15.75">
      <c r="A149" s="46"/>
      <c r="B149" s="46"/>
      <c r="C149" s="46"/>
      <c r="D149" s="47"/>
      <c r="E149" s="41"/>
      <c r="F149" s="41"/>
      <c r="G149" s="41"/>
    </row>
    <row r="150" spans="1:7" ht="15.75">
      <c r="A150" s="46"/>
      <c r="B150" s="46"/>
      <c r="C150" s="46"/>
      <c r="D150" s="47"/>
      <c r="E150" s="41"/>
      <c r="F150" s="41"/>
      <c r="G150" s="41"/>
    </row>
    <row r="151" spans="1:7" ht="15.75">
      <c r="A151" s="46"/>
      <c r="B151" s="46"/>
      <c r="C151" s="46"/>
      <c r="D151" s="47"/>
      <c r="E151" s="41"/>
      <c r="F151" s="41"/>
      <c r="G151" s="41"/>
    </row>
    <row r="152" spans="1:7" ht="15.75">
      <c r="A152" s="46"/>
      <c r="B152" s="46"/>
      <c r="C152" s="46"/>
      <c r="D152" s="47"/>
      <c r="E152" s="41"/>
      <c r="F152" s="41"/>
      <c r="G152" s="41"/>
    </row>
    <row r="153" spans="1:7" ht="15.75">
      <c r="A153" s="46"/>
      <c r="B153" s="46"/>
      <c r="C153" s="46"/>
      <c r="D153" s="47"/>
      <c r="E153" s="41"/>
      <c r="F153" s="41"/>
      <c r="G153" s="41"/>
    </row>
    <row r="154" spans="1:7" ht="15.75">
      <c r="A154" s="46"/>
      <c r="B154" s="46"/>
      <c r="C154" s="46"/>
      <c r="D154" s="47"/>
      <c r="E154" s="41"/>
      <c r="F154" s="41"/>
      <c r="G154" s="41"/>
    </row>
    <row r="155" spans="1:7" ht="15.75">
      <c r="A155" s="46"/>
      <c r="B155" s="46"/>
      <c r="C155" s="46"/>
      <c r="D155" s="47"/>
      <c r="E155" s="41"/>
      <c r="F155" s="41"/>
      <c r="G155" s="41"/>
    </row>
    <row r="156" spans="1:7" ht="15.75">
      <c r="A156" s="46"/>
      <c r="B156" s="46"/>
      <c r="C156" s="46"/>
      <c r="D156" s="47"/>
      <c r="E156" s="41"/>
      <c r="F156" s="41"/>
      <c r="G156" s="41"/>
    </row>
    <row r="157" spans="1:7" ht="15.75">
      <c r="A157" s="46"/>
      <c r="B157" s="46"/>
      <c r="C157" s="46"/>
      <c r="D157" s="47"/>
      <c r="E157" s="41"/>
      <c r="F157" s="41"/>
      <c r="G157" s="41"/>
    </row>
    <row r="158" spans="1:7" ht="15.75">
      <c r="A158" s="46"/>
      <c r="B158" s="46"/>
      <c r="C158" s="46"/>
      <c r="D158" s="47"/>
      <c r="E158" s="41"/>
      <c r="F158" s="41"/>
      <c r="G158" s="41"/>
    </row>
    <row r="159" spans="1:7" ht="15.75">
      <c r="A159" s="46"/>
      <c r="B159" s="46"/>
      <c r="C159" s="46"/>
      <c r="D159" s="47"/>
      <c r="E159" s="41"/>
      <c r="F159" s="41"/>
      <c r="G159" s="41"/>
    </row>
    <row r="160" spans="1:7" ht="15.75">
      <c r="A160" s="46"/>
      <c r="B160" s="46"/>
      <c r="C160" s="46"/>
      <c r="D160" s="47"/>
      <c r="E160" s="41"/>
      <c r="F160" s="41"/>
      <c r="G160" s="41"/>
    </row>
    <row r="161" spans="1:7" ht="15.75">
      <c r="A161" s="46"/>
      <c r="B161" s="46"/>
      <c r="C161" s="46"/>
      <c r="D161" s="47"/>
      <c r="E161" s="41"/>
      <c r="F161" s="41"/>
      <c r="G161" s="41"/>
    </row>
    <row r="162" spans="1:7" ht="15.75">
      <c r="A162" s="46"/>
      <c r="B162" s="46"/>
      <c r="C162" s="46"/>
      <c r="D162" s="47"/>
      <c r="E162" s="41"/>
      <c r="F162" s="41"/>
      <c r="G162" s="41"/>
    </row>
    <row r="163" spans="1:7" ht="15.75">
      <c r="A163" s="46"/>
      <c r="B163" s="46"/>
      <c r="C163" s="46"/>
      <c r="D163" s="47"/>
      <c r="E163" s="41"/>
      <c r="F163" s="41"/>
      <c r="G163" s="41"/>
    </row>
    <row r="164" spans="1:7" ht="15.75">
      <c r="A164" s="46"/>
      <c r="B164" s="46"/>
      <c r="C164" s="46"/>
      <c r="D164" s="47"/>
      <c r="E164" s="41"/>
      <c r="F164" s="41"/>
      <c r="G164" s="41"/>
    </row>
    <row r="165" spans="1:7" ht="15.75">
      <c r="A165" s="46"/>
      <c r="B165" s="46"/>
      <c r="C165" s="46"/>
      <c r="D165" s="47"/>
      <c r="E165" s="41"/>
      <c r="F165" s="41"/>
      <c r="G165" s="41"/>
    </row>
    <row r="166" spans="1:7" ht="15.75">
      <c r="A166" s="46"/>
      <c r="B166" s="46"/>
      <c r="C166" s="46"/>
      <c r="D166" s="47"/>
      <c r="E166" s="41"/>
      <c r="F166" s="41"/>
      <c r="G166" s="41"/>
    </row>
    <row r="167" spans="1:7" ht="15.75">
      <c r="A167" s="46"/>
      <c r="B167" s="46"/>
      <c r="C167" s="46"/>
      <c r="D167" s="47"/>
      <c r="E167" s="41"/>
      <c r="F167" s="41"/>
      <c r="G167" s="41"/>
    </row>
    <row r="168" spans="1:7" ht="15.75">
      <c r="A168" s="46"/>
      <c r="B168" s="46"/>
      <c r="C168" s="46"/>
      <c r="D168" s="47"/>
      <c r="E168" s="41"/>
      <c r="F168" s="41"/>
      <c r="G168" s="41"/>
    </row>
    <row r="169" spans="1:7" ht="15.75">
      <c r="A169" s="46"/>
      <c r="B169" s="46"/>
      <c r="C169" s="46"/>
      <c r="D169" s="47"/>
      <c r="E169" s="41"/>
      <c r="F169" s="41"/>
      <c r="G169" s="41"/>
    </row>
    <row r="170" spans="1:7" ht="15.75">
      <c r="A170" s="46"/>
      <c r="B170" s="46"/>
      <c r="C170" s="46"/>
      <c r="D170" s="47"/>
      <c r="E170" s="41"/>
      <c r="F170" s="41"/>
      <c r="G170" s="41"/>
    </row>
    <row r="171" spans="1:7" ht="15.75">
      <c r="A171" s="46"/>
      <c r="B171" s="46"/>
      <c r="C171" s="46"/>
      <c r="D171" s="47"/>
      <c r="E171" s="41"/>
      <c r="F171" s="41"/>
      <c r="G171" s="41"/>
    </row>
    <row r="172" spans="1:7" ht="15.75">
      <c r="A172" s="46"/>
      <c r="B172" s="46"/>
      <c r="C172" s="46"/>
      <c r="D172" s="47"/>
      <c r="E172" s="41"/>
      <c r="F172" s="41"/>
      <c r="G172" s="41"/>
    </row>
    <row r="173" spans="1:7" ht="15.75">
      <c r="A173" s="46"/>
      <c r="B173" s="46"/>
      <c r="C173" s="46"/>
      <c r="D173" s="47"/>
      <c r="E173" s="41"/>
      <c r="F173" s="41"/>
      <c r="G173" s="41"/>
    </row>
    <row r="174" spans="1:7" ht="15.75">
      <c r="A174" s="46"/>
      <c r="B174" s="46"/>
      <c r="C174" s="46"/>
      <c r="D174" s="47"/>
      <c r="E174" s="41"/>
      <c r="F174" s="41"/>
      <c r="G174" s="41"/>
    </row>
    <row r="175" spans="1:7" ht="15.75">
      <c r="A175" s="46"/>
      <c r="B175" s="46"/>
      <c r="C175" s="46"/>
      <c r="D175" s="47"/>
      <c r="E175" s="41"/>
      <c r="F175" s="41"/>
      <c r="G175" s="41"/>
    </row>
    <row r="176" spans="1:7" ht="15.75">
      <c r="A176" s="46"/>
      <c r="B176" s="46"/>
      <c r="C176" s="46"/>
      <c r="D176" s="47"/>
      <c r="E176" s="41"/>
      <c r="F176" s="41"/>
      <c r="G176" s="41"/>
    </row>
    <row r="177" spans="1:7" ht="15.75">
      <c r="A177" s="46"/>
      <c r="B177" s="46"/>
      <c r="C177" s="46"/>
      <c r="D177" s="47"/>
      <c r="E177" s="41"/>
      <c r="F177" s="41"/>
      <c r="G177" s="41"/>
    </row>
    <row r="178" spans="1:7" ht="15.75">
      <c r="A178" s="46"/>
      <c r="B178" s="46"/>
      <c r="C178" s="46"/>
      <c r="D178" s="47"/>
      <c r="E178" s="41"/>
      <c r="F178" s="41"/>
      <c r="G178" s="41"/>
    </row>
    <row r="179" spans="1:7" ht="15.75">
      <c r="A179" s="46"/>
      <c r="B179" s="46"/>
      <c r="C179" s="46"/>
      <c r="D179" s="47"/>
      <c r="E179" s="41"/>
      <c r="F179" s="41"/>
      <c r="G179" s="41"/>
    </row>
    <row r="180" spans="1:7" ht="15.75">
      <c r="A180" s="46"/>
      <c r="B180" s="46"/>
      <c r="C180" s="46"/>
      <c r="D180" s="47"/>
      <c r="E180" s="41"/>
      <c r="F180" s="41"/>
      <c r="G180" s="41"/>
    </row>
    <row r="181" spans="1:7" ht="15.75">
      <c r="A181" s="46"/>
      <c r="B181" s="46"/>
      <c r="C181" s="46"/>
      <c r="D181" s="47"/>
      <c r="E181" s="41"/>
      <c r="F181" s="41"/>
      <c r="G181" s="41"/>
    </row>
    <row r="182" spans="1:7" ht="15.75">
      <c r="A182" s="46"/>
      <c r="B182" s="46"/>
      <c r="C182" s="46"/>
      <c r="D182" s="47"/>
      <c r="E182" s="41"/>
      <c r="F182" s="41"/>
      <c r="G182" s="41"/>
    </row>
    <row r="183" spans="1:7" ht="15.75">
      <c r="A183" s="46"/>
      <c r="B183" s="46"/>
      <c r="C183" s="46"/>
      <c r="D183" s="47"/>
      <c r="E183" s="41"/>
      <c r="F183" s="41"/>
      <c r="G183" s="41"/>
    </row>
    <row r="184" spans="1:7" ht="15.75">
      <c r="A184" s="46"/>
      <c r="B184" s="46"/>
      <c r="C184" s="46"/>
      <c r="D184" s="47"/>
      <c r="E184" s="41"/>
      <c r="F184" s="41"/>
      <c r="G184" s="41"/>
    </row>
    <row r="185" spans="1:7" ht="15.75">
      <c r="A185" s="46"/>
      <c r="B185" s="46"/>
      <c r="C185" s="46"/>
      <c r="D185" s="47"/>
      <c r="E185" s="41"/>
      <c r="F185" s="41"/>
      <c r="G185" s="41"/>
    </row>
    <row r="186" spans="1:7" ht="15.75">
      <c r="A186" s="46"/>
      <c r="B186" s="46"/>
      <c r="C186" s="46"/>
      <c r="D186" s="47"/>
      <c r="E186" s="41"/>
      <c r="F186" s="41"/>
      <c r="G186" s="41"/>
    </row>
    <row r="187" spans="1:7" ht="15.75">
      <c r="A187" s="46"/>
      <c r="B187" s="46"/>
      <c r="C187" s="46"/>
      <c r="D187" s="47"/>
      <c r="E187" s="41"/>
      <c r="F187" s="41"/>
      <c r="G187" s="41"/>
    </row>
    <row r="188" spans="1:7" ht="15.75">
      <c r="A188" s="46"/>
      <c r="B188" s="46"/>
      <c r="C188" s="46"/>
      <c r="D188" s="47"/>
      <c r="E188" s="41"/>
      <c r="F188" s="41"/>
      <c r="G188" s="41"/>
    </row>
    <row r="189" spans="1:7" ht="15.75">
      <c r="A189" s="46"/>
      <c r="B189" s="46"/>
      <c r="C189" s="46"/>
      <c r="D189" s="47"/>
      <c r="E189" s="41"/>
      <c r="F189" s="41"/>
      <c r="G189" s="41"/>
    </row>
    <row r="190" spans="1:7" ht="15.75">
      <c r="A190" s="46"/>
      <c r="B190" s="46"/>
      <c r="C190" s="46"/>
      <c r="D190" s="47"/>
      <c r="E190" s="41"/>
      <c r="F190" s="41"/>
      <c r="G190" s="41"/>
    </row>
    <row r="191" spans="1:7" ht="15.75">
      <c r="A191" s="46"/>
      <c r="B191" s="46"/>
      <c r="C191" s="46"/>
      <c r="D191" s="47"/>
      <c r="E191" s="41"/>
      <c r="F191" s="41"/>
      <c r="G191" s="41"/>
    </row>
    <row r="192" spans="1:7" ht="15.75">
      <c r="A192" s="46"/>
      <c r="B192" s="46"/>
      <c r="C192" s="46"/>
      <c r="D192" s="47"/>
      <c r="E192" s="41"/>
      <c r="F192" s="41"/>
      <c r="G192" s="41"/>
    </row>
    <row r="193" spans="1:7" ht="15.75">
      <c r="A193" s="46"/>
      <c r="B193" s="46"/>
      <c r="C193" s="46"/>
      <c r="D193" s="47"/>
      <c r="E193" s="41"/>
      <c r="F193" s="41"/>
      <c r="G193" s="41"/>
    </row>
    <row r="194" spans="1:7" ht="15.75">
      <c r="A194" s="46"/>
      <c r="B194" s="46"/>
      <c r="C194" s="46"/>
      <c r="D194" s="47"/>
      <c r="E194" s="41"/>
      <c r="F194" s="41"/>
      <c r="G194" s="41"/>
    </row>
    <row r="195" spans="1:7" ht="15.75">
      <c r="A195" s="46"/>
      <c r="B195" s="46"/>
      <c r="C195" s="46"/>
      <c r="D195" s="47"/>
      <c r="E195" s="41"/>
      <c r="F195" s="41"/>
      <c r="G195" s="41"/>
    </row>
    <row r="196" spans="1:7" ht="15.75">
      <c r="A196" s="46"/>
      <c r="B196" s="46"/>
      <c r="C196" s="46"/>
      <c r="D196" s="47"/>
      <c r="E196" s="41"/>
      <c r="F196" s="41"/>
      <c r="G196" s="41"/>
    </row>
    <row r="197" spans="1:7" ht="15.75">
      <c r="A197" s="46"/>
      <c r="B197" s="46"/>
      <c r="C197" s="46"/>
      <c r="D197" s="47"/>
      <c r="E197" s="41"/>
      <c r="F197" s="41"/>
      <c r="G197" s="41"/>
    </row>
    <row r="198" spans="1:7" ht="15.75">
      <c r="A198" s="46"/>
      <c r="B198" s="46"/>
      <c r="C198" s="46"/>
      <c r="D198" s="47"/>
      <c r="E198" s="41"/>
      <c r="F198" s="41"/>
      <c r="G198" s="41"/>
    </row>
    <row r="199" spans="1:7" ht="15.75">
      <c r="A199" s="46"/>
      <c r="B199" s="46"/>
      <c r="C199" s="46"/>
      <c r="D199" s="47"/>
      <c r="E199" s="41"/>
      <c r="F199" s="41"/>
      <c r="G199" s="41"/>
    </row>
    <row r="200" spans="1:7" ht="15.75">
      <c r="A200" s="46"/>
      <c r="B200" s="46"/>
      <c r="C200" s="46"/>
      <c r="D200" s="47"/>
      <c r="E200" s="41"/>
      <c r="F200" s="41"/>
      <c r="G200" s="41"/>
    </row>
    <row r="201" spans="1:7" ht="15.75">
      <c r="A201" s="46"/>
      <c r="B201" s="46"/>
      <c r="C201" s="46"/>
      <c r="D201" s="47"/>
      <c r="E201" s="41"/>
      <c r="F201" s="41"/>
      <c r="G201" s="41"/>
    </row>
    <row r="202" spans="1:7" ht="15.75">
      <c r="A202" s="46"/>
      <c r="B202" s="46"/>
      <c r="C202" s="46"/>
      <c r="D202" s="47"/>
      <c r="E202" s="41"/>
      <c r="F202" s="41"/>
      <c r="G202" s="41"/>
    </row>
    <row r="203" spans="1:7" ht="15.75">
      <c r="A203" s="46"/>
      <c r="B203" s="46"/>
      <c r="C203" s="46"/>
      <c r="D203" s="47"/>
      <c r="E203" s="41"/>
      <c r="F203" s="41"/>
      <c r="G203" s="41"/>
    </row>
    <row r="204" spans="1:7" ht="15.75">
      <c r="A204" s="46"/>
      <c r="B204" s="46"/>
      <c r="C204" s="46"/>
      <c r="D204" s="47"/>
      <c r="E204" s="41"/>
      <c r="F204" s="41"/>
      <c r="G204" s="41"/>
    </row>
    <row r="205" spans="1:7" ht="15.75">
      <c r="A205" s="46"/>
      <c r="B205" s="46"/>
      <c r="C205" s="46"/>
      <c r="D205" s="47"/>
      <c r="E205" s="41"/>
      <c r="F205" s="41"/>
      <c r="G205" s="41"/>
    </row>
    <row r="206" spans="1:7" ht="15.75">
      <c r="A206" s="46"/>
      <c r="B206" s="46"/>
      <c r="C206" s="46"/>
      <c r="D206" s="47"/>
      <c r="E206" s="41"/>
      <c r="F206" s="41"/>
      <c r="G206" s="41"/>
    </row>
    <row r="207" spans="1:7" ht="15.75">
      <c r="A207" s="46"/>
      <c r="B207" s="46"/>
      <c r="C207" s="46"/>
      <c r="D207" s="47"/>
      <c r="E207" s="41"/>
      <c r="F207" s="41"/>
      <c r="G207" s="41"/>
    </row>
    <row r="208" spans="1:7" ht="15.75">
      <c r="A208" s="46"/>
      <c r="B208" s="46"/>
      <c r="C208" s="46"/>
      <c r="D208" s="47"/>
      <c r="E208" s="41"/>
      <c r="F208" s="41"/>
      <c r="G208" s="41"/>
    </row>
    <row r="209" spans="1:7" ht="15.75">
      <c r="A209" s="46"/>
      <c r="B209" s="46"/>
      <c r="C209" s="46"/>
      <c r="D209" s="47"/>
      <c r="E209" s="41"/>
      <c r="F209" s="41"/>
      <c r="G209" s="41"/>
    </row>
    <row r="210" spans="1:7" ht="15.75">
      <c r="A210" s="46"/>
      <c r="B210" s="46"/>
      <c r="C210" s="46"/>
      <c r="D210" s="47"/>
      <c r="E210" s="41"/>
      <c r="F210" s="41"/>
      <c r="G210" s="41"/>
    </row>
    <row r="211" spans="1:7" ht="15.75">
      <c r="A211" s="46"/>
      <c r="B211" s="46"/>
      <c r="C211" s="46"/>
      <c r="D211" s="47"/>
      <c r="E211" s="41"/>
      <c r="F211" s="41"/>
      <c r="G211" s="41"/>
    </row>
    <row r="212" spans="1:7" ht="15.75">
      <c r="A212" s="46"/>
      <c r="B212" s="46"/>
      <c r="C212" s="46"/>
      <c r="D212" s="47"/>
      <c r="E212" s="41"/>
      <c r="F212" s="41"/>
      <c r="G212" s="41"/>
    </row>
    <row r="213" spans="1:7" ht="15.75">
      <c r="A213" s="46"/>
      <c r="B213" s="46"/>
      <c r="C213" s="46"/>
      <c r="D213" s="47"/>
      <c r="E213" s="41"/>
      <c r="F213" s="41"/>
      <c r="G213" s="41"/>
    </row>
    <row r="214" spans="1:7" ht="15.75">
      <c r="A214" s="46"/>
      <c r="B214" s="46"/>
      <c r="C214" s="46"/>
      <c r="D214" s="47"/>
      <c r="E214" s="41"/>
      <c r="F214" s="41"/>
      <c r="G214" s="41"/>
    </row>
    <row r="215" spans="1:7" ht="15.75">
      <c r="A215" s="46"/>
      <c r="B215" s="46"/>
      <c r="C215" s="46"/>
      <c r="D215" s="47"/>
      <c r="E215" s="41"/>
      <c r="F215" s="41"/>
      <c r="G215" s="41"/>
    </row>
    <row r="216" spans="1:7" ht="15.75">
      <c r="A216" s="46"/>
      <c r="B216" s="46"/>
      <c r="C216" s="46"/>
      <c r="D216" s="47"/>
      <c r="E216" s="41"/>
      <c r="F216" s="41"/>
      <c r="G216" s="41"/>
    </row>
    <row r="217" spans="1:7" ht="15.75">
      <c r="A217" s="46"/>
      <c r="B217" s="46"/>
      <c r="C217" s="46"/>
      <c r="D217" s="47"/>
      <c r="E217" s="41"/>
      <c r="F217" s="41"/>
      <c r="G217" s="41"/>
    </row>
    <row r="218" spans="1:7" ht="15.75">
      <c r="A218" s="46"/>
      <c r="B218" s="46"/>
      <c r="C218" s="46"/>
      <c r="D218" s="47"/>
      <c r="E218" s="41"/>
      <c r="F218" s="41"/>
      <c r="G218" s="41"/>
    </row>
    <row r="219" spans="1:7" ht="15.75">
      <c r="A219" s="46"/>
      <c r="B219" s="46"/>
      <c r="C219" s="46"/>
      <c r="D219" s="47"/>
      <c r="E219" s="41"/>
      <c r="F219" s="41"/>
      <c r="G219" s="41"/>
    </row>
    <row r="220" spans="1:7" ht="15.75">
      <c r="A220" s="46"/>
      <c r="B220" s="46"/>
      <c r="C220" s="46"/>
      <c r="D220" s="47"/>
      <c r="E220" s="41"/>
      <c r="F220" s="41"/>
      <c r="G220" s="41"/>
    </row>
    <row r="221" spans="1:7" ht="15.75">
      <c r="A221" s="46"/>
      <c r="B221" s="46"/>
      <c r="C221" s="46"/>
      <c r="D221" s="47"/>
      <c r="E221" s="41"/>
      <c r="F221" s="41"/>
      <c r="G221" s="41"/>
    </row>
    <row r="222" spans="1:7" ht="15.75">
      <c r="A222" s="46"/>
      <c r="B222" s="46"/>
      <c r="C222" s="46"/>
      <c r="D222" s="47"/>
      <c r="E222" s="41"/>
      <c r="F222" s="41"/>
      <c r="G222" s="41"/>
    </row>
    <row r="223" spans="1:7" ht="15.75">
      <c r="A223" s="46"/>
      <c r="B223" s="46"/>
      <c r="C223" s="46"/>
      <c r="D223" s="47"/>
      <c r="E223" s="41"/>
      <c r="F223" s="41"/>
      <c r="G223" s="41"/>
    </row>
    <row r="224" spans="1:7" ht="15.75">
      <c r="A224" s="46"/>
      <c r="B224" s="46"/>
      <c r="C224" s="46"/>
      <c r="D224" s="47"/>
      <c r="E224" s="41"/>
      <c r="F224" s="41"/>
      <c r="G224" s="41"/>
    </row>
  </sheetData>
  <printOptions/>
  <pageMargins left="0.75" right="0.75" top="1" bottom="1" header="0.5" footer="0.5"/>
  <pageSetup fitToHeight="1" fitToWidth="1" horizontalDpi="600" verticalDpi="600" orientation="portrait" scale="90" r:id="rId1"/>
  <headerFooter alignWithMargins="0">
    <oddFooter>&amp;C&amp;T   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workbookViewId="0" topLeftCell="A1">
      <selection activeCell="K20" sqref="K20"/>
    </sheetView>
  </sheetViews>
  <sheetFormatPr defaultColWidth="9.140625" defaultRowHeight="12.75"/>
  <cols>
    <col min="1" max="1" width="13.8515625" style="0" customWidth="1"/>
    <col min="2" max="2" width="11.421875" style="0" customWidth="1"/>
    <col min="3" max="3" width="11.421875" style="2" bestFit="1" customWidth="1"/>
    <col min="4" max="4" width="10.421875" style="56" customWidth="1"/>
    <col min="5" max="5" width="10.28125" style="7" customWidth="1"/>
  </cols>
  <sheetData>
    <row r="2" spans="2:5" s="43" customFormat="1" ht="15.75">
      <c r="B2" s="42" t="s">
        <v>186</v>
      </c>
      <c r="C2" s="337"/>
      <c r="D2" s="338"/>
      <c r="E2" s="295"/>
    </row>
    <row r="4" spans="1:6" s="3" customFormat="1" ht="12.75">
      <c r="A4" s="3" t="s">
        <v>11</v>
      </c>
      <c r="B4" s="3" t="s">
        <v>16</v>
      </c>
      <c r="C4" s="8" t="s">
        <v>103</v>
      </c>
      <c r="D4" s="12" t="s">
        <v>104</v>
      </c>
      <c r="E4" s="7"/>
      <c r="F4" s="3" t="s">
        <v>12</v>
      </c>
    </row>
    <row r="6" spans="1:6" ht="12.75">
      <c r="A6" t="s">
        <v>7</v>
      </c>
      <c r="B6" t="s">
        <v>102</v>
      </c>
      <c r="C6" s="2">
        <v>-15000</v>
      </c>
      <c r="F6" t="s">
        <v>176</v>
      </c>
    </row>
    <row r="7" spans="2:5" s="10" customFormat="1" ht="12.75">
      <c r="B7" s="10" t="s">
        <v>2</v>
      </c>
      <c r="C7" s="54"/>
      <c r="D7" s="140"/>
      <c r="E7" s="54">
        <f>SUM(C6)</f>
        <v>-15000</v>
      </c>
    </row>
    <row r="9" ht="12.75">
      <c r="A9" t="s">
        <v>101</v>
      </c>
    </row>
    <row r="10" spans="2:5" ht="12.75">
      <c r="B10" t="s">
        <v>2</v>
      </c>
      <c r="C10" s="2">
        <f>SUM(C9)</f>
        <v>0</v>
      </c>
      <c r="E10" s="7">
        <v>0</v>
      </c>
    </row>
    <row r="12" ht="12.75">
      <c r="A12" t="s">
        <v>6</v>
      </c>
    </row>
    <row r="13" spans="2:5" ht="12.75">
      <c r="B13" t="s">
        <v>2</v>
      </c>
      <c r="C13" s="2">
        <f>SUM(C12:C12)</f>
        <v>0</v>
      </c>
      <c r="E13" s="7">
        <v>0</v>
      </c>
    </row>
    <row r="15" ht="12.75">
      <c r="A15" t="s">
        <v>8</v>
      </c>
    </row>
    <row r="16" spans="2:5" ht="12.75">
      <c r="B16" t="s">
        <v>2</v>
      </c>
      <c r="E16" s="7">
        <v>0</v>
      </c>
    </row>
    <row r="18" ht="12.75">
      <c r="A18" t="s">
        <v>4</v>
      </c>
    </row>
    <row r="19" spans="2:5" ht="12.75">
      <c r="B19" t="s">
        <v>2</v>
      </c>
      <c r="C19" s="2">
        <f>SUM(C18:C18)</f>
        <v>0</v>
      </c>
      <c r="E19" s="7">
        <v>0</v>
      </c>
    </row>
    <row r="21" ht="12.75">
      <c r="A21" t="s">
        <v>9</v>
      </c>
    </row>
    <row r="22" spans="2:5" ht="12.75">
      <c r="B22" t="s">
        <v>2</v>
      </c>
      <c r="E22" s="7">
        <f>SUM(C21)</f>
        <v>0</v>
      </c>
    </row>
    <row r="24" spans="1:5" ht="12.75">
      <c r="A24" t="s">
        <v>10</v>
      </c>
      <c r="E24" s="7">
        <f>SUM(C24)</f>
        <v>0</v>
      </c>
    </row>
    <row r="26" spans="2:5" ht="12.75">
      <c r="B26" s="3" t="s">
        <v>169</v>
      </c>
      <c r="E26" s="7">
        <f>SUM(E5:E19)</f>
        <v>-15000</v>
      </c>
    </row>
  </sheetData>
  <printOptions/>
  <pageMargins left="0.75" right="0.75" top="1" bottom="1" header="0.5" footer="0.5"/>
  <pageSetup fitToHeight="1" fitToWidth="1" horizontalDpi="600" verticalDpi="600" orientation="portrait" scale="87" r:id="rId1"/>
  <headerFooter alignWithMargins="0">
    <oddFooter>&amp;C&amp;T   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1"/>
  <sheetViews>
    <sheetView workbookViewId="0" topLeftCell="A1">
      <selection activeCell="G7" sqref="G7"/>
    </sheetView>
  </sheetViews>
  <sheetFormatPr defaultColWidth="9.140625" defaultRowHeight="12.75"/>
  <cols>
    <col min="1" max="1" width="15.140625" style="0" customWidth="1"/>
    <col min="2" max="2" width="23.28125" style="0" customWidth="1"/>
    <col min="3" max="3" width="11.140625" style="2" customWidth="1"/>
    <col min="4" max="4" width="18.8515625" style="72" customWidth="1"/>
    <col min="5" max="5" width="43.8515625" style="0" customWidth="1"/>
    <col min="6" max="6" width="19.7109375" style="0" customWidth="1"/>
  </cols>
  <sheetData>
    <row r="2" spans="2:4" s="43" customFormat="1" ht="15.75">
      <c r="B2" s="42" t="s">
        <v>210</v>
      </c>
      <c r="C2" s="295"/>
      <c r="D2" s="339"/>
    </row>
    <row r="4" spans="1:5" s="3" customFormat="1" ht="12.75">
      <c r="A4" s="3" t="s">
        <v>11</v>
      </c>
      <c r="B4" s="91" t="s">
        <v>16</v>
      </c>
      <c r="C4" s="85" t="s">
        <v>22</v>
      </c>
      <c r="D4" s="90" t="s">
        <v>63</v>
      </c>
      <c r="E4" s="77" t="s">
        <v>126</v>
      </c>
    </row>
    <row r="6" spans="1:5" ht="12.75">
      <c r="A6" s="3" t="s">
        <v>7</v>
      </c>
      <c r="B6" s="92" t="s">
        <v>121</v>
      </c>
      <c r="C6" s="84">
        <v>43948</v>
      </c>
      <c r="D6" s="86" t="s">
        <v>175</v>
      </c>
      <c r="E6" s="79" t="s">
        <v>180</v>
      </c>
    </row>
    <row r="7" spans="1:5" ht="12.75">
      <c r="A7" s="3"/>
      <c r="B7" s="93" t="s">
        <v>256</v>
      </c>
      <c r="C7" s="88">
        <v>31154</v>
      </c>
      <c r="D7" s="88" t="s">
        <v>257</v>
      </c>
      <c r="E7" s="138" t="s">
        <v>478</v>
      </c>
    </row>
    <row r="8" spans="2:5" s="3" customFormat="1" ht="12.75">
      <c r="B8" s="3" t="s">
        <v>2</v>
      </c>
      <c r="C8" s="7">
        <f>SUM(C6:C7)</f>
        <v>75102</v>
      </c>
      <c r="D8" s="8"/>
      <c r="E8" s="163" t="s">
        <v>573</v>
      </c>
    </row>
    <row r="9" ht="12.75">
      <c r="E9" s="8"/>
    </row>
    <row r="11" ht="12.75">
      <c r="A11" s="3" t="s">
        <v>101</v>
      </c>
    </row>
    <row r="12" spans="2:5" s="10" customFormat="1" ht="12.75">
      <c r="B12" s="10" t="s">
        <v>207</v>
      </c>
      <c r="C12" s="54">
        <v>65004</v>
      </c>
      <c r="D12" s="163" t="s">
        <v>208</v>
      </c>
      <c r="E12" s="10" t="s">
        <v>209</v>
      </c>
    </row>
    <row r="13" spans="2:5" s="10" customFormat="1" ht="12.75">
      <c r="B13" s="139" t="s">
        <v>238</v>
      </c>
      <c r="C13" s="6">
        <v>55008</v>
      </c>
      <c r="D13" s="86" t="s">
        <v>123</v>
      </c>
      <c r="E13" s="138" t="s">
        <v>482</v>
      </c>
    </row>
    <row r="14" spans="2:5" s="3" customFormat="1" ht="12.75">
      <c r="B14" s="3" t="s">
        <v>2</v>
      </c>
      <c r="C14" s="7">
        <f>SUM(C11:C12)</f>
        <v>65004</v>
      </c>
      <c r="D14" s="8"/>
      <c r="E14" s="8"/>
    </row>
    <row r="16" spans="1:5" ht="12.75">
      <c r="A16" s="3" t="s">
        <v>6</v>
      </c>
      <c r="B16" s="94" t="s">
        <v>25</v>
      </c>
      <c r="C16" s="6">
        <v>40000</v>
      </c>
      <c r="D16" s="86" t="s">
        <v>123</v>
      </c>
      <c r="E16" s="79" t="s">
        <v>187</v>
      </c>
    </row>
    <row r="17" spans="2:5" s="3" customFormat="1" ht="12.75">
      <c r="B17" s="3" t="s">
        <v>2</v>
      </c>
      <c r="C17" s="7">
        <f>SUM(C16:C16)</f>
        <v>40000</v>
      </c>
      <c r="D17" s="8"/>
      <c r="E17" s="8"/>
    </row>
    <row r="19" spans="1:5" ht="12.75">
      <c r="A19" s="3" t="s">
        <v>8</v>
      </c>
      <c r="B19" s="92" t="s">
        <v>182</v>
      </c>
      <c r="C19" s="6">
        <v>46800</v>
      </c>
      <c r="D19" s="181" t="s">
        <v>123</v>
      </c>
      <c r="E19" s="79"/>
    </row>
    <row r="20" spans="1:4" ht="12.75">
      <c r="A20" s="3"/>
      <c r="B20" s="145" t="s">
        <v>206</v>
      </c>
      <c r="C20" s="2">
        <v>47004</v>
      </c>
      <c r="D20" s="11" t="s">
        <v>123</v>
      </c>
    </row>
    <row r="21" spans="2:5" s="3" customFormat="1" ht="12.75">
      <c r="B21" s="3" t="s">
        <v>2</v>
      </c>
      <c r="C21" s="7">
        <f>SUM(C19:C20)</f>
        <v>93804</v>
      </c>
      <c r="D21" s="8"/>
      <c r="E21" s="8"/>
    </row>
    <row r="22" ht="12.75">
      <c r="D22" s="73"/>
    </row>
    <row r="23" spans="1:5" ht="12.75">
      <c r="A23" s="3" t="s">
        <v>4</v>
      </c>
      <c r="B23" s="81" t="s">
        <v>225</v>
      </c>
      <c r="C23" s="6">
        <v>71004</v>
      </c>
      <c r="D23" s="88" t="s">
        <v>226</v>
      </c>
      <c r="E23" s="87" t="s">
        <v>228</v>
      </c>
    </row>
    <row r="24" spans="1:5" ht="12.75">
      <c r="A24" s="3"/>
      <c r="B24" s="81" t="s">
        <v>225</v>
      </c>
      <c r="C24" s="6">
        <v>94308</v>
      </c>
      <c r="D24" s="88" t="s">
        <v>202</v>
      </c>
      <c r="E24" s="87" t="s">
        <v>227</v>
      </c>
    </row>
    <row r="25" spans="1:5" ht="12.75">
      <c r="A25" s="3"/>
      <c r="B25" s="81" t="s">
        <v>184</v>
      </c>
      <c r="C25" s="6">
        <v>64008</v>
      </c>
      <c r="D25" s="88" t="s">
        <v>123</v>
      </c>
      <c r="E25" s="107" t="s">
        <v>572</v>
      </c>
    </row>
    <row r="26" spans="2:5" s="3" customFormat="1" ht="12.75">
      <c r="B26" s="3" t="s">
        <v>2</v>
      </c>
      <c r="C26" s="7">
        <f>SUM(C23:C25)</f>
        <v>229320</v>
      </c>
      <c r="D26" s="8"/>
      <c r="E26" s="8"/>
    </row>
    <row r="28" spans="1:5" ht="12.75">
      <c r="A28" s="3" t="s">
        <v>9</v>
      </c>
      <c r="B28" s="81" t="s">
        <v>119</v>
      </c>
      <c r="C28" s="6">
        <v>57000</v>
      </c>
      <c r="D28" s="88" t="s">
        <v>123</v>
      </c>
      <c r="E28" s="87" t="s">
        <v>170</v>
      </c>
    </row>
    <row r="29" spans="1:5" ht="12.75">
      <c r="A29" s="3"/>
      <c r="B29" s="81" t="s">
        <v>119</v>
      </c>
      <c r="C29" s="5">
        <v>57000</v>
      </c>
      <c r="D29" s="86" t="s">
        <v>171</v>
      </c>
      <c r="E29" s="107" t="s">
        <v>172</v>
      </c>
    </row>
    <row r="30" spans="1:5" ht="12.75">
      <c r="A30" s="3"/>
      <c r="B30" s="81" t="s">
        <v>189</v>
      </c>
      <c r="C30" s="5">
        <v>44004</v>
      </c>
      <c r="D30" s="86" t="s">
        <v>133</v>
      </c>
      <c r="E30" s="107"/>
    </row>
    <row r="31" spans="1:5" ht="12.75">
      <c r="A31" s="3"/>
      <c r="B31" s="81" t="s">
        <v>122</v>
      </c>
      <c r="C31" s="89">
        <v>40404</v>
      </c>
      <c r="D31" s="86" t="s">
        <v>133</v>
      </c>
      <c r="E31" s="107" t="s">
        <v>173</v>
      </c>
    </row>
    <row r="32" spans="1:5" ht="12.75">
      <c r="A32" s="3"/>
      <c r="B32" s="81" t="s">
        <v>119</v>
      </c>
      <c r="C32" s="6">
        <v>57000</v>
      </c>
      <c r="D32" s="88" t="s">
        <v>123</v>
      </c>
      <c r="E32" s="87" t="s">
        <v>143</v>
      </c>
    </row>
    <row r="33" spans="2:5" s="3" customFormat="1" ht="12.75">
      <c r="B33" s="3" t="s">
        <v>2</v>
      </c>
      <c r="C33" s="7">
        <f>SUM(C28:C31)</f>
        <v>198408</v>
      </c>
      <c r="D33" s="8"/>
      <c r="E33" s="8"/>
    </row>
    <row r="35" spans="1:5" ht="12.75">
      <c r="A35" s="3" t="s">
        <v>10</v>
      </c>
      <c r="B35" s="81" t="s">
        <v>175</v>
      </c>
      <c r="C35" s="6">
        <v>71004</v>
      </c>
      <c r="D35" s="83" t="s">
        <v>123</v>
      </c>
      <c r="E35" t="s">
        <v>117</v>
      </c>
    </row>
    <row r="36" spans="1:5" ht="12.75">
      <c r="A36" s="3"/>
      <c r="B36" s="81" t="s">
        <v>123</v>
      </c>
      <c r="C36" s="6">
        <v>71004</v>
      </c>
      <c r="D36" s="83" t="s">
        <v>123</v>
      </c>
      <c r="E36" t="s">
        <v>482</v>
      </c>
    </row>
    <row r="37" spans="2:5" s="3" customFormat="1" ht="12.75">
      <c r="B37" s="3" t="s">
        <v>2</v>
      </c>
      <c r="C37" s="7">
        <f>SUM(C35:C36)</f>
        <v>142008</v>
      </c>
      <c r="D37" s="8"/>
      <c r="E37" s="8"/>
    </row>
    <row r="38" spans="2:5" ht="12.75">
      <c r="B38" s="3"/>
      <c r="E38" s="8"/>
    </row>
    <row r="39" spans="2:5" ht="12.75">
      <c r="B39" s="3"/>
      <c r="E39" s="8"/>
    </row>
    <row r="41" spans="1:5" ht="12.75">
      <c r="A41" s="3" t="s">
        <v>2</v>
      </c>
      <c r="C41" s="7">
        <f>C37+C33+C26+C21+C17+C14+C8</f>
        <v>843646</v>
      </c>
      <c r="E41" s="7"/>
    </row>
  </sheetData>
  <printOptions/>
  <pageMargins left="0.75" right="0.75" top="1" bottom="1" header="0.5" footer="0.5"/>
  <pageSetup fitToHeight="1" fitToWidth="1" horizontalDpi="600" verticalDpi="600" orientation="portrait" scale="84" r:id="rId1"/>
  <headerFooter alignWithMargins="0">
    <oddFooter>&amp;C&amp;T   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="75" zoomScaleNormal="75" workbookViewId="0" topLeftCell="A1">
      <selection activeCell="B33" sqref="B33"/>
    </sheetView>
  </sheetViews>
  <sheetFormatPr defaultColWidth="9.140625" defaultRowHeight="12.75"/>
  <cols>
    <col min="1" max="1" width="27.140625" style="0" bestFit="1" customWidth="1"/>
    <col min="3" max="3" width="13.421875" style="0" bestFit="1" customWidth="1"/>
    <col min="4" max="4" width="13.00390625" style="0" customWidth="1"/>
    <col min="5" max="5" width="12.28125" style="0" customWidth="1"/>
    <col min="6" max="6" width="25.7109375" style="0" customWidth="1"/>
  </cols>
  <sheetData>
    <row r="1" spans="1:6" s="79" customFormat="1" ht="15">
      <c r="A1" s="126" t="s">
        <v>166</v>
      </c>
      <c r="B1" s="127"/>
      <c r="C1" s="126"/>
      <c r="D1" s="126"/>
      <c r="E1" s="128"/>
      <c r="F1" s="126"/>
    </row>
    <row r="2" spans="1:6" s="79" customFormat="1" ht="15">
      <c r="A2" s="126"/>
      <c r="B2" s="126"/>
      <c r="C2" s="126"/>
      <c r="D2" s="126"/>
      <c r="E2" s="128"/>
      <c r="F2" s="126"/>
    </row>
    <row r="3" spans="1:6" s="79" customFormat="1" ht="12.75">
      <c r="A3" s="129"/>
      <c r="B3" s="130" t="s">
        <v>15</v>
      </c>
      <c r="C3" s="129"/>
      <c r="D3" s="129"/>
      <c r="E3" s="131"/>
      <c r="F3" s="129"/>
    </row>
    <row r="4" spans="1:6" s="79" customFormat="1" ht="12.75">
      <c r="A4" s="132" t="s">
        <v>11</v>
      </c>
      <c r="B4" s="130" t="s">
        <v>19</v>
      </c>
      <c r="C4" s="132" t="s">
        <v>16</v>
      </c>
      <c r="D4" s="130" t="s">
        <v>63</v>
      </c>
      <c r="E4" s="133" t="s">
        <v>22</v>
      </c>
      <c r="F4" s="130" t="s">
        <v>100</v>
      </c>
    </row>
    <row r="5" spans="1:6" s="79" customFormat="1" ht="12.75">
      <c r="A5" s="132" t="s">
        <v>5</v>
      </c>
      <c r="B5" s="134"/>
      <c r="C5" s="129"/>
      <c r="D5" s="129"/>
      <c r="E5" s="131"/>
      <c r="F5" s="129"/>
    </row>
    <row r="6" spans="1:6" s="79" customFormat="1" ht="12.75">
      <c r="A6" s="135" t="s">
        <v>64</v>
      </c>
      <c r="B6" s="134"/>
      <c r="C6" s="129" t="s">
        <v>65</v>
      </c>
      <c r="D6" s="129"/>
      <c r="E6" s="131">
        <v>40000</v>
      </c>
      <c r="F6" s="129"/>
    </row>
    <row r="7" spans="1:6" s="79" customFormat="1" ht="12.75">
      <c r="A7" s="135" t="s">
        <v>66</v>
      </c>
      <c r="B7" s="134"/>
      <c r="C7" s="129" t="s">
        <v>1</v>
      </c>
      <c r="D7" s="129"/>
      <c r="E7" s="131">
        <v>35000</v>
      </c>
      <c r="F7" s="129" t="s">
        <v>118</v>
      </c>
    </row>
    <row r="8" spans="1:6" s="79" customFormat="1" ht="12.75">
      <c r="A8" s="135"/>
      <c r="B8" s="134"/>
      <c r="C8" s="129"/>
      <c r="D8" s="129"/>
      <c r="E8" s="131"/>
      <c r="F8" s="129"/>
    </row>
    <row r="9" spans="1:6" s="79" customFormat="1" ht="12.75">
      <c r="A9" s="132" t="s">
        <v>7</v>
      </c>
      <c r="B9" s="134"/>
      <c r="C9" s="129"/>
      <c r="D9" s="129"/>
      <c r="E9" s="131"/>
      <c r="F9" s="129"/>
    </row>
    <row r="10" spans="1:6" s="79" customFormat="1" ht="12.75">
      <c r="A10" s="135" t="s">
        <v>67</v>
      </c>
      <c r="B10" s="134"/>
      <c r="C10" s="129"/>
      <c r="D10" s="129"/>
      <c r="E10" s="131">
        <v>130000</v>
      </c>
      <c r="F10" s="129"/>
    </row>
    <row r="11" spans="1:6" s="79" customFormat="1" ht="12.75">
      <c r="A11" s="135" t="s">
        <v>68</v>
      </c>
      <c r="B11" s="134"/>
      <c r="C11" s="129" t="s">
        <v>62</v>
      </c>
      <c r="D11" s="129"/>
      <c r="E11" s="131">
        <v>110000</v>
      </c>
      <c r="F11" s="129" t="s">
        <v>116</v>
      </c>
    </row>
    <row r="12" spans="1:6" s="79" customFormat="1" ht="12.75">
      <c r="A12" s="135" t="s">
        <v>70</v>
      </c>
      <c r="B12" s="134"/>
      <c r="C12" s="129" t="s">
        <v>40</v>
      </c>
      <c r="D12" s="129"/>
      <c r="E12" s="131">
        <v>48632</v>
      </c>
      <c r="F12" s="129" t="s">
        <v>117</v>
      </c>
    </row>
    <row r="13" spans="1:6" s="79" customFormat="1" ht="12.75">
      <c r="A13" s="135"/>
      <c r="B13" s="134"/>
      <c r="C13" s="129"/>
      <c r="D13" s="129"/>
      <c r="E13" s="131"/>
      <c r="F13" s="129"/>
    </row>
    <row r="14" spans="1:6" s="79" customFormat="1" ht="12.75">
      <c r="A14" s="132" t="s">
        <v>6</v>
      </c>
      <c r="B14" s="134"/>
      <c r="C14" s="129"/>
      <c r="D14" s="129"/>
      <c r="E14" s="131"/>
      <c r="F14" s="129"/>
    </row>
    <row r="15" spans="1:6" s="79" customFormat="1" ht="12.75">
      <c r="A15" s="135" t="s">
        <v>67</v>
      </c>
      <c r="B15" s="134"/>
      <c r="C15" s="129"/>
      <c r="D15" s="129"/>
      <c r="E15" s="131">
        <v>130000</v>
      </c>
      <c r="F15" s="129"/>
    </row>
    <row r="16" spans="1:6" s="79" customFormat="1" ht="12.75">
      <c r="A16" s="129" t="s">
        <v>71</v>
      </c>
      <c r="B16" s="134">
        <v>1126</v>
      </c>
      <c r="C16" s="129" t="s">
        <v>72</v>
      </c>
      <c r="D16" s="129"/>
      <c r="E16" s="131">
        <v>87000</v>
      </c>
      <c r="F16" s="129"/>
    </row>
    <row r="17" spans="1:6" s="79" customFormat="1" ht="12.75">
      <c r="A17" s="135" t="s">
        <v>73</v>
      </c>
      <c r="B17" s="134">
        <v>882</v>
      </c>
      <c r="C17" s="129" t="s">
        <v>25</v>
      </c>
      <c r="D17" s="129"/>
      <c r="E17" s="136">
        <v>57216</v>
      </c>
      <c r="F17" s="129"/>
    </row>
    <row r="18" spans="1:6" s="79" customFormat="1" ht="12.75">
      <c r="A18" s="135" t="s">
        <v>74</v>
      </c>
      <c r="B18" s="134">
        <v>1151</v>
      </c>
      <c r="C18" s="129" t="s">
        <v>26</v>
      </c>
      <c r="D18" s="129"/>
      <c r="E18" s="136">
        <v>42504</v>
      </c>
      <c r="F18" s="129" t="s">
        <v>75</v>
      </c>
    </row>
    <row r="19" spans="1:6" s="79" customFormat="1" ht="12.75">
      <c r="A19" s="135" t="s">
        <v>76</v>
      </c>
      <c r="B19" s="134">
        <v>1676</v>
      </c>
      <c r="C19" s="129" t="s">
        <v>72</v>
      </c>
      <c r="D19" s="129"/>
      <c r="E19" s="136">
        <v>26346</v>
      </c>
      <c r="F19" s="129" t="s">
        <v>75</v>
      </c>
    </row>
    <row r="20" spans="1:6" s="79" customFormat="1" ht="12.75">
      <c r="A20" s="135"/>
      <c r="B20" s="134"/>
      <c r="C20" s="129"/>
      <c r="D20" s="129"/>
      <c r="E20" s="131"/>
      <c r="F20" s="129"/>
    </row>
    <row r="21" spans="1:6" s="79" customFormat="1" ht="12.75">
      <c r="A21" s="132" t="s">
        <v>8</v>
      </c>
      <c r="B21" s="134"/>
      <c r="C21" s="129"/>
      <c r="D21" s="129"/>
      <c r="E21" s="131"/>
      <c r="F21" s="129"/>
    </row>
    <row r="22" spans="1:6" s="79" customFormat="1" ht="12.75">
      <c r="A22" s="135" t="s">
        <v>67</v>
      </c>
      <c r="B22" s="134"/>
      <c r="C22" s="129"/>
      <c r="D22" s="129"/>
      <c r="E22" s="131">
        <v>120000</v>
      </c>
      <c r="F22" s="129"/>
    </row>
    <row r="23" spans="1:6" s="79" customFormat="1" ht="12.75">
      <c r="A23" s="135" t="s">
        <v>77</v>
      </c>
      <c r="B23" s="134">
        <v>558</v>
      </c>
      <c r="C23" s="129" t="s">
        <v>78</v>
      </c>
      <c r="D23" s="129"/>
      <c r="E23" s="131">
        <v>62200</v>
      </c>
      <c r="F23" s="129"/>
    </row>
    <row r="24" spans="1:6" s="79" customFormat="1" ht="12.75">
      <c r="A24" s="135" t="s">
        <v>79</v>
      </c>
      <c r="B24" s="134">
        <v>113</v>
      </c>
      <c r="C24" s="129" t="s">
        <v>80</v>
      </c>
      <c r="D24" s="129"/>
      <c r="E24" s="131">
        <v>46020</v>
      </c>
      <c r="F24" s="129"/>
    </row>
    <row r="25" spans="1:6" s="79" customFormat="1" ht="12.75">
      <c r="A25" s="135" t="s">
        <v>81</v>
      </c>
      <c r="B25" s="134">
        <v>1104</v>
      </c>
      <c r="C25" s="129"/>
      <c r="D25" s="129"/>
      <c r="E25" s="136">
        <v>43008</v>
      </c>
      <c r="F25" s="129" t="s">
        <v>69</v>
      </c>
    </row>
    <row r="26" spans="1:6" s="79" customFormat="1" ht="12.75">
      <c r="A26" s="135" t="s">
        <v>82</v>
      </c>
      <c r="B26" s="134">
        <v>431</v>
      </c>
      <c r="C26" s="129"/>
      <c r="D26" s="129"/>
      <c r="E26" s="136">
        <v>43008</v>
      </c>
      <c r="F26" s="129" t="s">
        <v>69</v>
      </c>
    </row>
    <row r="27" spans="1:6" s="79" customFormat="1" ht="12.75">
      <c r="A27" s="129"/>
      <c r="B27" s="134"/>
      <c r="C27" s="129"/>
      <c r="D27" s="129"/>
      <c r="E27" s="131"/>
      <c r="F27" s="129"/>
    </row>
    <row r="28" spans="1:6" s="79" customFormat="1" ht="12.75">
      <c r="A28" s="132" t="s">
        <v>4</v>
      </c>
      <c r="B28" s="134"/>
      <c r="C28" s="129"/>
      <c r="D28" s="129"/>
      <c r="E28" s="131"/>
      <c r="F28" s="129"/>
    </row>
    <row r="29" spans="1:6" s="79" customFormat="1" ht="12.75">
      <c r="A29" s="135" t="s">
        <v>83</v>
      </c>
      <c r="B29" s="134"/>
      <c r="C29" s="129"/>
      <c r="D29" s="129"/>
      <c r="E29" s="131">
        <v>31250</v>
      </c>
      <c r="F29" s="129"/>
    </row>
    <row r="30" spans="1:6" s="79" customFormat="1" ht="12.75">
      <c r="A30" s="135"/>
      <c r="B30" s="134"/>
      <c r="C30" s="129"/>
      <c r="D30" s="129"/>
      <c r="E30" s="131"/>
      <c r="F30" s="129"/>
    </row>
    <row r="31" spans="1:6" s="79" customFormat="1" ht="12.75">
      <c r="A31" s="132" t="s">
        <v>9</v>
      </c>
      <c r="B31" s="134"/>
      <c r="C31" s="129"/>
      <c r="D31" s="129"/>
      <c r="E31" s="131"/>
      <c r="F31" s="129"/>
    </row>
    <row r="32" spans="1:6" s="79" customFormat="1" ht="12.75">
      <c r="A32" s="129" t="s">
        <v>84</v>
      </c>
      <c r="B32" s="134">
        <v>123</v>
      </c>
      <c r="C32" s="129"/>
      <c r="D32" s="129"/>
      <c r="E32" s="131">
        <v>44500</v>
      </c>
      <c r="F32" s="129"/>
    </row>
    <row r="33" spans="1:6" s="79" customFormat="1" ht="12.75">
      <c r="A33" s="135"/>
      <c r="B33" s="134"/>
      <c r="C33" s="129"/>
      <c r="D33" s="129"/>
      <c r="E33" s="131"/>
      <c r="F33" s="129"/>
    </row>
    <row r="34" spans="1:6" s="79" customFormat="1" ht="12.75">
      <c r="A34" s="135" t="s">
        <v>10</v>
      </c>
      <c r="B34" s="134"/>
      <c r="C34" s="129"/>
      <c r="D34" s="129"/>
      <c r="E34" s="131"/>
      <c r="F34" s="129"/>
    </row>
    <row r="35" spans="1:6" s="79" customFormat="1" ht="12.75">
      <c r="A35" s="135"/>
      <c r="B35" s="134"/>
      <c r="C35" s="129"/>
      <c r="D35" s="129"/>
      <c r="E35" s="131"/>
      <c r="F35" s="129"/>
    </row>
    <row r="36" spans="1:6" s="79" customFormat="1" ht="12.75">
      <c r="A36" s="135" t="s">
        <v>85</v>
      </c>
      <c r="B36" s="134"/>
      <c r="C36" s="129"/>
      <c r="D36" s="129"/>
      <c r="E36" s="131"/>
      <c r="F36" s="129"/>
    </row>
    <row r="37" spans="1:6" s="79" customFormat="1" ht="12.75">
      <c r="A37" s="129" t="s">
        <v>86</v>
      </c>
      <c r="B37" s="134"/>
      <c r="C37" s="129"/>
      <c r="D37" s="129"/>
      <c r="E37" s="131">
        <v>95256</v>
      </c>
      <c r="F37" s="129"/>
    </row>
    <row r="38" spans="1:6" s="79" customFormat="1" ht="12.75">
      <c r="A38" s="129" t="s">
        <v>87</v>
      </c>
      <c r="B38" s="134"/>
      <c r="C38" s="129"/>
      <c r="D38" s="129"/>
      <c r="E38" s="131">
        <v>12284</v>
      </c>
      <c r="F38" s="129"/>
    </row>
    <row r="39" spans="1:6" s="79" customFormat="1" ht="12.75">
      <c r="A39" s="129" t="s">
        <v>88</v>
      </c>
      <c r="B39" s="134"/>
      <c r="C39" s="129" t="s">
        <v>89</v>
      </c>
      <c r="D39" s="129"/>
      <c r="E39" s="131">
        <v>70008</v>
      </c>
      <c r="F39" s="129"/>
    </row>
    <row r="40" spans="1:6" s="79" customFormat="1" ht="12.75">
      <c r="A40" s="129" t="s">
        <v>90</v>
      </c>
      <c r="B40" s="134"/>
      <c r="C40" s="129" t="s">
        <v>91</v>
      </c>
      <c r="D40" s="129"/>
      <c r="E40" s="131">
        <v>58008</v>
      </c>
      <c r="F40" s="129"/>
    </row>
    <row r="41" spans="1:6" s="79" customFormat="1" ht="12.75">
      <c r="A41" s="129" t="s">
        <v>92</v>
      </c>
      <c r="B41" s="134"/>
      <c r="C41" s="129" t="s">
        <v>93</v>
      </c>
      <c r="D41" s="129"/>
      <c r="E41" s="131">
        <v>72000</v>
      </c>
      <c r="F41" s="129"/>
    </row>
    <row r="42" spans="1:6" s="79" customFormat="1" ht="12.75">
      <c r="A42" s="135" t="s">
        <v>94</v>
      </c>
      <c r="B42" s="134"/>
      <c r="C42" s="129" t="s">
        <v>0</v>
      </c>
      <c r="D42" s="129"/>
      <c r="E42" s="131">
        <v>108000</v>
      </c>
      <c r="F42" s="129"/>
    </row>
    <row r="43" spans="1:6" s="79" customFormat="1" ht="12.75">
      <c r="A43" s="135" t="s">
        <v>95</v>
      </c>
      <c r="B43" s="134"/>
      <c r="C43" s="129"/>
      <c r="D43" s="129"/>
      <c r="E43" s="131">
        <v>21672</v>
      </c>
      <c r="F43" s="129"/>
    </row>
    <row r="44" spans="1:6" s="79" customFormat="1" ht="12.75">
      <c r="A44" s="129" t="s">
        <v>96</v>
      </c>
      <c r="B44" s="134"/>
      <c r="C44" s="129"/>
      <c r="D44" s="129"/>
      <c r="E44" s="131">
        <v>4752</v>
      </c>
      <c r="F44" s="129"/>
    </row>
    <row r="45" spans="1:6" s="79" customFormat="1" ht="12.75">
      <c r="A45" s="129" t="s">
        <v>97</v>
      </c>
      <c r="B45" s="134"/>
      <c r="C45" s="129"/>
      <c r="D45" s="129"/>
      <c r="E45" s="131"/>
      <c r="F45" s="129" t="s">
        <v>98</v>
      </c>
    </row>
    <row r="46" spans="1:6" s="79" customFormat="1" ht="12.75">
      <c r="A46" s="129" t="s">
        <v>99</v>
      </c>
      <c r="B46" s="134"/>
      <c r="C46" s="129" t="s">
        <v>0</v>
      </c>
      <c r="D46" s="129"/>
      <c r="E46" s="131"/>
      <c r="F46" s="129" t="s">
        <v>98</v>
      </c>
    </row>
    <row r="47" spans="1:6" s="79" customFormat="1" ht="12.75">
      <c r="A47" s="129"/>
      <c r="B47" s="134"/>
      <c r="C47" s="129"/>
      <c r="D47" s="129"/>
      <c r="E47" s="131"/>
      <c r="F47" s="129"/>
    </row>
    <row r="48" spans="1:6" s="79" customFormat="1" ht="12.75">
      <c r="A48" s="129" t="s">
        <v>27</v>
      </c>
      <c r="B48" s="134"/>
      <c r="C48" s="129"/>
      <c r="D48" s="129"/>
      <c r="E48" s="137">
        <f>SUM(E5:E47)</f>
        <v>1538664</v>
      </c>
      <c r="F48" s="129"/>
    </row>
    <row r="49" s="79" customFormat="1" ht="12.75"/>
  </sheetData>
  <printOptions/>
  <pageMargins left="0.75" right="0.75" top="1" bottom="1" header="0.5" footer="0.5"/>
  <pageSetup fitToHeight="1" fitToWidth="1" horizontalDpi="1200" verticalDpi="12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0"/>
  <sheetViews>
    <sheetView zoomScale="65" zoomScaleNormal="65" workbookViewId="0" topLeftCell="B10">
      <selection activeCell="O10" sqref="O10"/>
    </sheetView>
  </sheetViews>
  <sheetFormatPr defaultColWidth="9.140625" defaultRowHeight="12.75" outlineLevelRow="2"/>
  <cols>
    <col min="1" max="1" width="24.140625" style="27" hidden="1" customWidth="1"/>
    <col min="2" max="2" width="25.28125" style="18" customWidth="1"/>
    <col min="3" max="3" width="27.8515625" style="18" hidden="1" customWidth="1"/>
    <col min="4" max="5" width="8.28125" style="36" hidden="1" customWidth="1"/>
    <col min="6" max="6" width="6.57421875" style="27" customWidth="1"/>
    <col min="7" max="7" width="15.28125" style="18" bestFit="1" customWidth="1"/>
    <col min="8" max="8" width="12.00390625" style="27" customWidth="1"/>
    <col min="9" max="9" width="7.00390625" style="37" customWidth="1"/>
    <col min="10" max="10" width="15.28125" style="35" customWidth="1"/>
    <col min="11" max="11" width="13.57421875" style="57" customWidth="1"/>
    <col min="12" max="12" width="45.7109375" style="18" customWidth="1"/>
    <col min="13" max="13" width="13.28125" style="18" customWidth="1"/>
    <col min="14" max="16384" width="9.140625" style="18" customWidth="1"/>
  </cols>
  <sheetData>
    <row r="2" spans="1:11" ht="18">
      <c r="A2" s="14"/>
      <c r="B2" s="340" t="s">
        <v>498</v>
      </c>
      <c r="D2" s="15"/>
      <c r="E2" s="15"/>
      <c r="F2" s="14"/>
      <c r="G2" s="14"/>
      <c r="H2" s="14"/>
      <c r="I2" s="16"/>
      <c r="J2" s="17"/>
      <c r="K2" s="62"/>
    </row>
    <row r="3" spans="1:11" ht="18.75" thickBot="1">
      <c r="A3" s="14"/>
      <c r="B3" s="340"/>
      <c r="D3" s="15"/>
      <c r="E3" s="15"/>
      <c r="F3" s="14"/>
      <c r="G3" s="14"/>
      <c r="H3" s="14"/>
      <c r="I3" s="16"/>
      <c r="J3" s="17"/>
      <c r="K3" s="62"/>
    </row>
    <row r="4" spans="1:12" ht="15.75" thickTop="1">
      <c r="A4" s="238"/>
      <c r="B4" s="255"/>
      <c r="C4" s="256"/>
      <c r="D4" s="257" t="s">
        <v>38</v>
      </c>
      <c r="E4" s="257" t="s">
        <v>14</v>
      </c>
      <c r="F4" s="257" t="s">
        <v>15</v>
      </c>
      <c r="G4" s="256"/>
      <c r="H4" s="257" t="s">
        <v>549</v>
      </c>
      <c r="I4" s="258" t="s">
        <v>21</v>
      </c>
      <c r="J4" s="259" t="s">
        <v>120</v>
      </c>
      <c r="K4" s="260" t="s">
        <v>148</v>
      </c>
      <c r="L4" s="261"/>
    </row>
    <row r="5" spans="1:12" ht="15.75" thickBot="1">
      <c r="A5" s="239" t="s">
        <v>11</v>
      </c>
      <c r="B5" s="262" t="s">
        <v>16</v>
      </c>
      <c r="C5" s="263" t="s">
        <v>17</v>
      </c>
      <c r="D5" s="263"/>
      <c r="E5" s="263" t="s">
        <v>18</v>
      </c>
      <c r="F5" s="263" t="s">
        <v>19</v>
      </c>
      <c r="G5" s="263" t="s">
        <v>20</v>
      </c>
      <c r="H5" s="263" t="s">
        <v>550</v>
      </c>
      <c r="I5" s="264" t="s">
        <v>551</v>
      </c>
      <c r="J5" s="265" t="s">
        <v>22</v>
      </c>
      <c r="K5" s="266" t="s">
        <v>147</v>
      </c>
      <c r="L5" s="267" t="s">
        <v>12</v>
      </c>
    </row>
    <row r="6" spans="1:12" ht="15.75" outlineLevel="2" thickBot="1" thickTop="1">
      <c r="A6" s="240"/>
      <c r="B6" s="247"/>
      <c r="C6" s="248"/>
      <c r="D6" s="249"/>
      <c r="E6" s="249"/>
      <c r="F6" s="249"/>
      <c r="G6" s="248"/>
      <c r="H6" s="250"/>
      <c r="I6" s="251"/>
      <c r="J6" s="252"/>
      <c r="K6" s="253"/>
      <c r="L6" s="254"/>
    </row>
    <row r="7" spans="1:13" s="34" customFormat="1" ht="15.75" outlineLevel="1" thickTop="1">
      <c r="A7" s="241"/>
      <c r="B7" s="244"/>
      <c r="C7" s="24"/>
      <c r="D7" s="19"/>
      <c r="E7" s="19"/>
      <c r="F7" s="20"/>
      <c r="G7" s="24"/>
      <c r="H7" s="58"/>
      <c r="I7" s="59"/>
      <c r="J7" s="26"/>
      <c r="K7" s="26"/>
      <c r="L7" s="229"/>
      <c r="M7" s="281" t="s">
        <v>542</v>
      </c>
    </row>
    <row r="8" spans="1:13" ht="14.25" outlineLevel="2">
      <c r="A8" s="240"/>
      <c r="B8" s="243" t="s">
        <v>214</v>
      </c>
      <c r="C8" s="13" t="s">
        <v>215</v>
      </c>
      <c r="D8" s="19" t="s">
        <v>23</v>
      </c>
      <c r="E8" s="19" t="s">
        <v>23</v>
      </c>
      <c r="F8" s="19">
        <v>531</v>
      </c>
      <c r="G8" s="13" t="s">
        <v>13</v>
      </c>
      <c r="H8" s="21">
        <v>37256</v>
      </c>
      <c r="I8" s="22" t="s">
        <v>552</v>
      </c>
      <c r="J8" s="25">
        <f>0.89*M8</f>
        <v>42420.96</v>
      </c>
      <c r="K8" s="55">
        <v>0</v>
      </c>
      <c r="L8" s="228"/>
      <c r="M8" s="282">
        <v>47664</v>
      </c>
    </row>
    <row r="9" spans="1:13" ht="14.25" outlineLevel="2">
      <c r="A9" s="240"/>
      <c r="B9" s="243" t="s">
        <v>243</v>
      </c>
      <c r="C9" s="13" t="s">
        <v>389</v>
      </c>
      <c r="D9" s="19"/>
      <c r="E9" s="19" t="s">
        <v>23</v>
      </c>
      <c r="F9" s="19">
        <v>1278</v>
      </c>
      <c r="G9" s="13" t="s">
        <v>24</v>
      </c>
      <c r="H9" s="280">
        <v>37560</v>
      </c>
      <c r="I9" s="22" t="s">
        <v>553</v>
      </c>
      <c r="J9" s="25">
        <f>M9*0.89</f>
        <v>48070.68</v>
      </c>
      <c r="K9" s="55">
        <v>0</v>
      </c>
      <c r="L9" s="228"/>
      <c r="M9" s="282">
        <v>54012</v>
      </c>
    </row>
    <row r="10" spans="1:13" ht="14.25" outlineLevel="2">
      <c r="A10" s="240" t="s">
        <v>7</v>
      </c>
      <c r="B10" s="243" t="s">
        <v>30</v>
      </c>
      <c r="C10" s="13" t="s">
        <v>191</v>
      </c>
      <c r="D10" s="19" t="s">
        <v>23</v>
      </c>
      <c r="E10" s="19" t="s">
        <v>23</v>
      </c>
      <c r="F10" s="19">
        <v>611</v>
      </c>
      <c r="G10" s="13" t="s">
        <v>124</v>
      </c>
      <c r="H10" s="21">
        <v>37194</v>
      </c>
      <c r="I10" s="22" t="s">
        <v>553</v>
      </c>
      <c r="J10" s="25">
        <f>0.89*M10</f>
        <v>51947.520000000004</v>
      </c>
      <c r="K10" s="55">
        <v>0</v>
      </c>
      <c r="L10" s="228"/>
      <c r="M10" s="282">
        <v>58368</v>
      </c>
    </row>
    <row r="11" spans="1:13" ht="14.25" outlineLevel="2">
      <c r="A11" s="240"/>
      <c r="B11" s="243" t="s">
        <v>30</v>
      </c>
      <c r="C11" s="13" t="s">
        <v>388</v>
      </c>
      <c r="D11" s="19" t="s">
        <v>23</v>
      </c>
      <c r="E11" s="19" t="s">
        <v>23</v>
      </c>
      <c r="F11" s="19">
        <v>513</v>
      </c>
      <c r="G11" s="13" t="s">
        <v>24</v>
      </c>
      <c r="H11" s="280">
        <v>37449</v>
      </c>
      <c r="I11" s="22" t="s">
        <v>553</v>
      </c>
      <c r="J11" s="25">
        <f>M11*0.89</f>
        <v>71096.76</v>
      </c>
      <c r="K11" s="55">
        <v>0</v>
      </c>
      <c r="L11" s="228" t="s">
        <v>545</v>
      </c>
      <c r="M11" s="282">
        <v>79884</v>
      </c>
    </row>
    <row r="12" spans="1:13" ht="14.25" outlineLevel="2">
      <c r="A12" s="240"/>
      <c r="B12" s="243" t="s">
        <v>253</v>
      </c>
      <c r="C12" s="13" t="s">
        <v>263</v>
      </c>
      <c r="D12" s="19" t="s">
        <v>23</v>
      </c>
      <c r="E12" s="19" t="s">
        <v>23</v>
      </c>
      <c r="F12" s="19">
        <v>961</v>
      </c>
      <c r="G12" s="13" t="s">
        <v>254</v>
      </c>
      <c r="H12" s="21">
        <v>37376</v>
      </c>
      <c r="I12" s="22" t="s">
        <v>553</v>
      </c>
      <c r="J12" s="25">
        <f>0.89*M12</f>
        <v>30662.28</v>
      </c>
      <c r="K12" s="55">
        <v>0</v>
      </c>
      <c r="L12" s="228"/>
      <c r="M12" s="282">
        <v>34452</v>
      </c>
    </row>
    <row r="13" spans="1:13" ht="14.25" outlineLevel="2">
      <c r="A13" s="240"/>
      <c r="B13" s="243" t="s">
        <v>253</v>
      </c>
      <c r="C13" s="13" t="s">
        <v>387</v>
      </c>
      <c r="D13" s="19" t="s">
        <v>23</v>
      </c>
      <c r="E13" s="19" t="s">
        <v>23</v>
      </c>
      <c r="F13" s="19">
        <v>136</v>
      </c>
      <c r="G13" s="13" t="s">
        <v>24</v>
      </c>
      <c r="H13" s="280">
        <v>37472</v>
      </c>
      <c r="I13" s="22" t="s">
        <v>553</v>
      </c>
      <c r="J13" s="25">
        <f>M13*0.89</f>
        <v>70925.88</v>
      </c>
      <c r="K13" s="55">
        <v>0</v>
      </c>
      <c r="L13" s="228" t="s">
        <v>546</v>
      </c>
      <c r="M13" s="282">
        <v>79692</v>
      </c>
    </row>
    <row r="14" spans="1:13" ht="14.25" outlineLevel="2">
      <c r="A14" s="240"/>
      <c r="B14" s="243" t="s">
        <v>243</v>
      </c>
      <c r="C14" s="13" t="s">
        <v>244</v>
      </c>
      <c r="D14" s="19" t="s">
        <v>23</v>
      </c>
      <c r="E14" s="19" t="s">
        <v>23</v>
      </c>
      <c r="F14" s="19">
        <v>1130</v>
      </c>
      <c r="G14" s="13" t="s">
        <v>13</v>
      </c>
      <c r="H14" s="21">
        <v>37323</v>
      </c>
      <c r="I14" s="22" t="s">
        <v>552</v>
      </c>
      <c r="J14" s="25">
        <v>42420</v>
      </c>
      <c r="K14" s="55">
        <v>0</v>
      </c>
      <c r="L14" s="228"/>
      <c r="M14" s="282">
        <v>42430</v>
      </c>
    </row>
    <row r="15" spans="1:13" s="34" customFormat="1" ht="15.75" outlineLevel="1" thickBot="1">
      <c r="A15" s="239"/>
      <c r="B15" s="230" t="s">
        <v>41</v>
      </c>
      <c r="C15" s="24">
        <f>COUNT(J7:J14)</f>
        <v>7</v>
      </c>
      <c r="D15" s="19"/>
      <c r="E15" s="19"/>
      <c r="F15" s="20"/>
      <c r="G15" s="24"/>
      <c r="H15" s="58"/>
      <c r="I15" s="59"/>
      <c r="J15" s="26">
        <f>SUBTOTAL(9,J8:J14)</f>
        <v>357544.07999999996</v>
      </c>
      <c r="K15" s="269">
        <f>SUM(K8:K14)</f>
        <v>0</v>
      </c>
      <c r="L15" s="228" t="s">
        <v>543</v>
      </c>
      <c r="M15" s="283">
        <f>SUBTOTAL(9,M8:M14)</f>
        <v>396502</v>
      </c>
    </row>
    <row r="16" spans="1:13" s="34" customFormat="1" ht="15.75" outlineLevel="1" thickTop="1">
      <c r="A16" s="239"/>
      <c r="B16" s="230"/>
      <c r="C16" s="24"/>
      <c r="D16" s="19"/>
      <c r="E16" s="19"/>
      <c r="F16" s="20"/>
      <c r="G16" s="24"/>
      <c r="H16" s="58"/>
      <c r="I16" s="59"/>
      <c r="J16" s="26"/>
      <c r="K16" s="26"/>
      <c r="L16" s="229"/>
      <c r="M16" s="141"/>
    </row>
    <row r="17" spans="1:12" ht="14.25" outlineLevel="2">
      <c r="A17" s="240"/>
      <c r="B17" s="243" t="s">
        <v>181</v>
      </c>
      <c r="C17" s="13" t="s">
        <v>192</v>
      </c>
      <c r="D17" s="19" t="s">
        <v>23</v>
      </c>
      <c r="E17" s="19" t="s">
        <v>23</v>
      </c>
      <c r="F17" s="19">
        <v>1473</v>
      </c>
      <c r="G17" s="13" t="s">
        <v>24</v>
      </c>
      <c r="H17" s="21">
        <v>37256</v>
      </c>
      <c r="I17" s="22" t="s">
        <v>552</v>
      </c>
      <c r="J17" s="23">
        <v>70332</v>
      </c>
      <c r="K17" s="55">
        <v>0</v>
      </c>
      <c r="L17" s="228"/>
    </row>
    <row r="18" spans="1:12" ht="14.25" outlineLevel="2">
      <c r="A18" s="240"/>
      <c r="B18" s="243" t="s">
        <v>272</v>
      </c>
      <c r="C18" s="13" t="s">
        <v>273</v>
      </c>
      <c r="D18" s="19" t="s">
        <v>23</v>
      </c>
      <c r="E18" s="19"/>
      <c r="F18" s="19">
        <v>772</v>
      </c>
      <c r="G18" s="13" t="s">
        <v>274</v>
      </c>
      <c r="H18" s="21">
        <v>37394</v>
      </c>
      <c r="I18" s="22" t="s">
        <v>552</v>
      </c>
      <c r="J18" s="23">
        <v>37980</v>
      </c>
      <c r="K18" s="55">
        <v>6330</v>
      </c>
      <c r="L18" s="228"/>
    </row>
    <row r="19" spans="1:12" ht="14.25" outlineLevel="2">
      <c r="A19" s="240"/>
      <c r="B19" s="243" t="s">
        <v>231</v>
      </c>
      <c r="C19" s="13" t="s">
        <v>232</v>
      </c>
      <c r="D19" s="19"/>
      <c r="E19" s="19" t="s">
        <v>23</v>
      </c>
      <c r="F19" s="19">
        <v>724</v>
      </c>
      <c r="G19" s="13" t="s">
        <v>235</v>
      </c>
      <c r="H19" s="21">
        <v>37394</v>
      </c>
      <c r="I19" s="22" t="s">
        <v>552</v>
      </c>
      <c r="J19" s="23">
        <v>58740</v>
      </c>
      <c r="K19" s="55">
        <v>9790</v>
      </c>
      <c r="L19" s="228"/>
    </row>
    <row r="20" spans="1:12" ht="14.25" outlineLevel="2">
      <c r="A20" s="240"/>
      <c r="B20" s="243" t="s">
        <v>245</v>
      </c>
      <c r="C20" s="13" t="s">
        <v>246</v>
      </c>
      <c r="D20" s="19"/>
      <c r="E20" s="19" t="s">
        <v>23</v>
      </c>
      <c r="F20" s="19">
        <v>384</v>
      </c>
      <c r="G20" s="13" t="s">
        <v>247</v>
      </c>
      <c r="H20" s="21">
        <v>37437</v>
      </c>
      <c r="I20" s="22" t="s">
        <v>553</v>
      </c>
      <c r="J20" s="23">
        <v>64750</v>
      </c>
      <c r="K20" s="55">
        <v>5977</v>
      </c>
      <c r="L20" s="228" t="s">
        <v>544</v>
      </c>
    </row>
    <row r="21" spans="1:12" ht="14.25" outlineLevel="2">
      <c r="A21" s="240"/>
      <c r="B21" s="243" t="s">
        <v>211</v>
      </c>
      <c r="C21" s="13" t="s">
        <v>212</v>
      </c>
      <c r="D21" s="19" t="s">
        <v>23</v>
      </c>
      <c r="E21" s="19"/>
      <c r="F21" s="19">
        <v>1187</v>
      </c>
      <c r="G21" s="13" t="s">
        <v>13</v>
      </c>
      <c r="H21" s="21">
        <v>37134</v>
      </c>
      <c r="I21" s="22" t="s">
        <v>552</v>
      </c>
      <c r="J21" s="23">
        <v>40008</v>
      </c>
      <c r="K21" s="55">
        <v>0</v>
      </c>
      <c r="L21" s="228"/>
    </row>
    <row r="22" spans="1:12" ht="14.25" outlineLevel="2">
      <c r="A22" s="240"/>
      <c r="B22" s="243" t="s">
        <v>288</v>
      </c>
      <c r="C22" s="13" t="s">
        <v>426</v>
      </c>
      <c r="D22" s="19"/>
      <c r="E22" s="19" t="s">
        <v>23</v>
      </c>
      <c r="F22" s="19">
        <v>129</v>
      </c>
      <c r="G22" s="13" t="s">
        <v>235</v>
      </c>
      <c r="H22" s="21">
        <v>37394</v>
      </c>
      <c r="I22" s="22" t="s">
        <v>552</v>
      </c>
      <c r="J22" s="23">
        <v>45684</v>
      </c>
      <c r="K22" s="55">
        <v>7614</v>
      </c>
      <c r="L22" s="228"/>
    </row>
    <row r="23" spans="1:12" ht="14.25" outlineLevel="2">
      <c r="A23" s="240"/>
      <c r="B23" s="243" t="s">
        <v>211</v>
      </c>
      <c r="C23" s="13" t="s">
        <v>213</v>
      </c>
      <c r="D23" s="19" t="s">
        <v>23</v>
      </c>
      <c r="E23" s="19" t="s">
        <v>23</v>
      </c>
      <c r="F23" s="19">
        <v>101</v>
      </c>
      <c r="G23" s="13" t="s">
        <v>24</v>
      </c>
      <c r="H23" s="21">
        <v>37315</v>
      </c>
      <c r="I23" s="22" t="s">
        <v>552</v>
      </c>
      <c r="J23" s="23">
        <v>55164</v>
      </c>
      <c r="K23" s="55">
        <v>0</v>
      </c>
      <c r="L23" s="228"/>
    </row>
    <row r="24" spans="1:12" ht="14.25" outlineLevel="2">
      <c r="A24" s="240"/>
      <c r="B24" s="243" t="s">
        <v>279</v>
      </c>
      <c r="C24" s="13" t="s">
        <v>280</v>
      </c>
      <c r="D24" s="19" t="s">
        <v>23</v>
      </c>
      <c r="E24" s="19" t="s">
        <v>23</v>
      </c>
      <c r="F24" s="19">
        <v>421</v>
      </c>
      <c r="G24" s="13" t="s">
        <v>24</v>
      </c>
      <c r="H24" s="21">
        <v>37394</v>
      </c>
      <c r="I24" s="22" t="s">
        <v>552</v>
      </c>
      <c r="J24" s="23">
        <v>64704</v>
      </c>
      <c r="K24" s="55">
        <v>10784</v>
      </c>
      <c r="L24" s="228"/>
    </row>
    <row r="25" spans="1:12" ht="14.25" outlineLevel="2">
      <c r="A25" s="240"/>
      <c r="B25" s="243" t="s">
        <v>1</v>
      </c>
      <c r="C25" s="13" t="s">
        <v>395</v>
      </c>
      <c r="D25" s="19"/>
      <c r="E25" s="19" t="s">
        <v>23</v>
      </c>
      <c r="F25" s="19">
        <v>1709</v>
      </c>
      <c r="G25" s="13" t="s">
        <v>24</v>
      </c>
      <c r="H25" s="21">
        <v>37394</v>
      </c>
      <c r="I25" s="22" t="s">
        <v>552</v>
      </c>
      <c r="J25" s="23">
        <v>51636</v>
      </c>
      <c r="K25" s="55">
        <v>8606</v>
      </c>
      <c r="L25" s="228"/>
    </row>
    <row r="26" spans="1:12" ht="14.25" outlineLevel="2">
      <c r="A26" s="240"/>
      <c r="B26" s="243" t="s">
        <v>396</v>
      </c>
      <c r="C26" s="13" t="s">
        <v>503</v>
      </c>
      <c r="D26" s="19"/>
      <c r="E26" s="19" t="s">
        <v>23</v>
      </c>
      <c r="F26" s="19">
        <v>359</v>
      </c>
      <c r="G26" s="13" t="s">
        <v>124</v>
      </c>
      <c r="H26" s="21">
        <v>37394</v>
      </c>
      <c r="I26" s="22" t="s">
        <v>552</v>
      </c>
      <c r="J26" s="23">
        <v>44808</v>
      </c>
      <c r="K26" s="55">
        <v>7468</v>
      </c>
      <c r="L26" s="228"/>
    </row>
    <row r="27" spans="1:12" ht="14.25" outlineLevel="2">
      <c r="A27" s="240"/>
      <c r="B27" s="243" t="s">
        <v>283</v>
      </c>
      <c r="C27" s="13" t="s">
        <v>398</v>
      </c>
      <c r="D27" s="19"/>
      <c r="E27" s="19" t="s">
        <v>23</v>
      </c>
      <c r="F27" s="19">
        <v>915</v>
      </c>
      <c r="G27" s="13" t="s">
        <v>24</v>
      </c>
      <c r="H27" s="21">
        <v>37394</v>
      </c>
      <c r="I27" s="22" t="s">
        <v>552</v>
      </c>
      <c r="J27" s="23">
        <v>63396</v>
      </c>
      <c r="K27" s="55">
        <v>10566</v>
      </c>
      <c r="L27" s="228"/>
    </row>
    <row r="28" spans="1:12" ht="14.25" outlineLevel="2">
      <c r="A28" s="240"/>
      <c r="B28" s="243" t="s">
        <v>245</v>
      </c>
      <c r="C28" s="13" t="s">
        <v>397</v>
      </c>
      <c r="D28" s="19"/>
      <c r="E28" s="19" t="s">
        <v>23</v>
      </c>
      <c r="F28" s="19">
        <v>1197</v>
      </c>
      <c r="G28" s="13" t="s">
        <v>124</v>
      </c>
      <c r="H28" s="280">
        <v>37499</v>
      </c>
      <c r="I28" s="22" t="s">
        <v>553</v>
      </c>
      <c r="J28" s="23">
        <v>45516</v>
      </c>
      <c r="K28" s="55">
        <v>3152</v>
      </c>
      <c r="L28" s="228" t="s">
        <v>544</v>
      </c>
    </row>
    <row r="29" spans="1:12" ht="14.25" outlineLevel="2">
      <c r="A29" s="240"/>
      <c r="B29" s="243" t="s">
        <v>179</v>
      </c>
      <c r="C29" s="13" t="s">
        <v>193</v>
      </c>
      <c r="D29" s="19" t="s">
        <v>23</v>
      </c>
      <c r="E29" s="19" t="s">
        <v>23</v>
      </c>
      <c r="F29" s="19">
        <v>1835</v>
      </c>
      <c r="G29" s="13" t="s">
        <v>124</v>
      </c>
      <c r="H29" s="21">
        <v>37157</v>
      </c>
      <c r="I29" s="22" t="s">
        <v>552</v>
      </c>
      <c r="J29" s="25">
        <v>72048</v>
      </c>
      <c r="K29" s="55">
        <v>0</v>
      </c>
      <c r="L29" s="228"/>
    </row>
    <row r="30" spans="1:12" s="34" customFormat="1" ht="15" outlineLevel="1">
      <c r="A30" s="241"/>
      <c r="B30" s="244" t="s">
        <v>39</v>
      </c>
      <c r="C30" s="24">
        <f>COUNT(J17:J29)</f>
        <v>13</v>
      </c>
      <c r="D30" s="19"/>
      <c r="E30" s="19"/>
      <c r="F30" s="20"/>
      <c r="G30" s="24"/>
      <c r="H30" s="58"/>
      <c r="I30" s="59"/>
      <c r="J30" s="26">
        <f>SUBTOTAL(9,J17:J29)</f>
        <v>714766</v>
      </c>
      <c r="K30" s="26">
        <f>SUBTOTAL(9,K17:K29)</f>
        <v>70287</v>
      </c>
      <c r="L30" s="229"/>
    </row>
    <row r="31" spans="1:12" ht="14.25" outlineLevel="2">
      <c r="A31" s="240"/>
      <c r="B31" s="243"/>
      <c r="C31" s="13"/>
      <c r="D31" s="19"/>
      <c r="E31" s="19"/>
      <c r="F31" s="19"/>
      <c r="G31" s="13"/>
      <c r="H31" s="21"/>
      <c r="I31" s="22"/>
      <c r="J31" s="25"/>
      <c r="K31" s="55"/>
      <c r="L31" s="228"/>
    </row>
    <row r="32" spans="1:12" ht="14.25" outlineLevel="2">
      <c r="A32" s="240"/>
      <c r="B32" s="243"/>
      <c r="C32" s="13"/>
      <c r="D32" s="19"/>
      <c r="E32" s="19"/>
      <c r="F32" s="19"/>
      <c r="G32" s="13"/>
      <c r="H32" s="21"/>
      <c r="I32" s="22"/>
      <c r="J32" s="25"/>
      <c r="K32" s="55"/>
      <c r="L32" s="228"/>
    </row>
    <row r="33" spans="1:12" ht="14.25" outlineLevel="2">
      <c r="A33" s="240"/>
      <c r="B33" s="243" t="s">
        <v>236</v>
      </c>
      <c r="C33" s="13" t="s">
        <v>264</v>
      </c>
      <c r="D33" s="19" t="s">
        <v>23</v>
      </c>
      <c r="E33" s="19" t="s">
        <v>23</v>
      </c>
      <c r="F33" s="19">
        <v>1233</v>
      </c>
      <c r="G33" s="13" t="s">
        <v>24</v>
      </c>
      <c r="H33" s="21">
        <v>37134</v>
      </c>
      <c r="I33" s="22" t="s">
        <v>552</v>
      </c>
      <c r="J33" s="25">
        <v>92004</v>
      </c>
      <c r="K33" s="55">
        <v>0</v>
      </c>
      <c r="L33" s="228"/>
    </row>
    <row r="34" spans="1:12" ht="14.25" outlineLevel="2">
      <c r="A34" s="240"/>
      <c r="B34" s="243" t="s">
        <v>236</v>
      </c>
      <c r="C34" s="13" t="s">
        <v>500</v>
      </c>
      <c r="D34" s="19" t="s">
        <v>23</v>
      </c>
      <c r="E34" s="19" t="s">
        <v>23</v>
      </c>
      <c r="F34" s="19">
        <v>1640</v>
      </c>
      <c r="G34" s="13" t="s">
        <v>13</v>
      </c>
      <c r="H34" s="21">
        <v>37438</v>
      </c>
      <c r="I34" s="22" t="s">
        <v>552</v>
      </c>
      <c r="J34" s="25">
        <v>71004</v>
      </c>
      <c r="K34" s="55">
        <v>0</v>
      </c>
      <c r="L34" s="228"/>
    </row>
    <row r="35" spans="1:12" ht="14.25" outlineLevel="2">
      <c r="A35" s="240"/>
      <c r="B35" s="243" t="s">
        <v>216</v>
      </c>
      <c r="C35" s="13" t="s">
        <v>265</v>
      </c>
      <c r="D35" s="19" t="s">
        <v>23</v>
      </c>
      <c r="E35" s="19" t="s">
        <v>23</v>
      </c>
      <c r="F35" s="19">
        <v>868</v>
      </c>
      <c r="G35" s="13" t="s">
        <v>235</v>
      </c>
      <c r="H35" s="21">
        <v>37394</v>
      </c>
      <c r="I35" s="22" t="s">
        <v>552</v>
      </c>
      <c r="J35" s="25">
        <v>68004</v>
      </c>
      <c r="K35" s="55">
        <v>11334</v>
      </c>
      <c r="L35" s="228"/>
    </row>
    <row r="36" spans="1:12" ht="14.25" outlineLevel="2">
      <c r="A36" s="240"/>
      <c r="B36" s="243" t="s">
        <v>216</v>
      </c>
      <c r="C36" s="13" t="s">
        <v>400</v>
      </c>
      <c r="D36" s="19" t="s">
        <v>23</v>
      </c>
      <c r="E36" s="19" t="s">
        <v>23</v>
      </c>
      <c r="F36" s="19">
        <v>1260</v>
      </c>
      <c r="G36" s="13" t="s">
        <v>24</v>
      </c>
      <c r="H36" s="21">
        <v>37394</v>
      </c>
      <c r="I36" s="22" t="s">
        <v>552</v>
      </c>
      <c r="J36" s="25">
        <v>79008</v>
      </c>
      <c r="K36" s="55">
        <v>13168</v>
      </c>
      <c r="L36" s="228"/>
    </row>
    <row r="37" spans="1:12" ht="14.25" outlineLevel="2">
      <c r="A37" s="240"/>
      <c r="B37" s="243" t="s">
        <v>216</v>
      </c>
      <c r="C37" s="13" t="s">
        <v>399</v>
      </c>
      <c r="D37" s="19" t="s">
        <v>23</v>
      </c>
      <c r="E37" s="19" t="s">
        <v>23</v>
      </c>
      <c r="F37" s="19">
        <v>1616</v>
      </c>
      <c r="G37" s="13" t="s">
        <v>235</v>
      </c>
      <c r="H37" s="21">
        <v>37394</v>
      </c>
      <c r="I37" s="22" t="s">
        <v>552</v>
      </c>
      <c r="J37" s="25">
        <v>58008</v>
      </c>
      <c r="K37" s="55">
        <v>9668</v>
      </c>
      <c r="L37" s="228"/>
    </row>
    <row r="38" spans="1:12" s="34" customFormat="1" ht="15" outlineLevel="1">
      <c r="A38" s="239"/>
      <c r="B38" s="230" t="s">
        <v>42</v>
      </c>
      <c r="C38" s="24">
        <f>COUNT(J32:J37)</f>
        <v>5</v>
      </c>
      <c r="D38" s="19"/>
      <c r="E38" s="19"/>
      <c r="F38" s="20"/>
      <c r="G38" s="24"/>
      <c r="H38" s="58"/>
      <c r="I38" s="59"/>
      <c r="J38" s="26">
        <f>SUBTOTAL(9,J31:J37)</f>
        <v>368028</v>
      </c>
      <c r="K38" s="26">
        <f>SUBTOTAL(9,K31:K37)</f>
        <v>34170</v>
      </c>
      <c r="L38" s="229"/>
    </row>
    <row r="39" spans="1:12" s="34" customFormat="1" ht="15" outlineLevel="1">
      <c r="A39" s="239"/>
      <c r="B39" s="230"/>
      <c r="C39" s="24"/>
      <c r="D39" s="19"/>
      <c r="E39" s="19"/>
      <c r="F39" s="20"/>
      <c r="G39" s="24"/>
      <c r="H39" s="58"/>
      <c r="I39" s="59"/>
      <c r="J39" s="26"/>
      <c r="K39" s="26"/>
      <c r="L39" s="229"/>
    </row>
    <row r="40" spans="1:12" s="34" customFormat="1" ht="15" outlineLevel="1">
      <c r="A40" s="239"/>
      <c r="B40" s="230"/>
      <c r="C40" s="24"/>
      <c r="D40" s="19"/>
      <c r="E40" s="19"/>
      <c r="F40" s="20"/>
      <c r="G40" s="24"/>
      <c r="H40" s="58"/>
      <c r="I40" s="59"/>
      <c r="J40" s="26"/>
      <c r="K40" s="26"/>
      <c r="L40" s="229"/>
    </row>
    <row r="41" spans="1:12" ht="14.25" outlineLevel="1">
      <c r="A41" s="240"/>
      <c r="B41" s="245" t="s">
        <v>239</v>
      </c>
      <c r="C41" s="13" t="s">
        <v>240</v>
      </c>
      <c r="D41" s="19" t="s">
        <v>23</v>
      </c>
      <c r="E41" s="19" t="s">
        <v>23</v>
      </c>
      <c r="F41" s="19">
        <v>1056</v>
      </c>
      <c r="G41" s="13" t="s">
        <v>235</v>
      </c>
      <c r="H41" s="21">
        <v>37394</v>
      </c>
      <c r="I41" s="22" t="s">
        <v>552</v>
      </c>
      <c r="J41" s="25">
        <v>55008</v>
      </c>
      <c r="K41" s="55">
        <v>0</v>
      </c>
      <c r="L41" s="228"/>
    </row>
    <row r="42" spans="1:12" ht="14.25" outlineLevel="1">
      <c r="A42" s="240"/>
      <c r="B42" s="245" t="s">
        <v>183</v>
      </c>
      <c r="C42" s="13" t="s">
        <v>194</v>
      </c>
      <c r="D42" s="19" t="s">
        <v>23</v>
      </c>
      <c r="E42" s="19" t="s">
        <v>23</v>
      </c>
      <c r="F42" s="19">
        <v>223</v>
      </c>
      <c r="G42" s="13" t="s">
        <v>24</v>
      </c>
      <c r="H42" s="21">
        <v>37134</v>
      </c>
      <c r="I42" s="22" t="s">
        <v>552</v>
      </c>
      <c r="J42" s="25">
        <v>59100</v>
      </c>
      <c r="K42" s="55">
        <v>0</v>
      </c>
      <c r="L42" s="228"/>
    </row>
    <row r="43" spans="1:12" ht="14.25" outlineLevel="1">
      <c r="A43" s="240"/>
      <c r="B43" s="245" t="s">
        <v>402</v>
      </c>
      <c r="C43" s="13" t="s">
        <v>401</v>
      </c>
      <c r="D43" s="19" t="s">
        <v>23</v>
      </c>
      <c r="E43" s="19" t="s">
        <v>23</v>
      </c>
      <c r="F43" s="19">
        <v>943</v>
      </c>
      <c r="G43" s="13" t="s">
        <v>175</v>
      </c>
      <c r="H43" s="21">
        <v>37394</v>
      </c>
      <c r="I43" s="22" t="s">
        <v>552</v>
      </c>
      <c r="J43" s="25">
        <v>42300</v>
      </c>
      <c r="K43" s="55">
        <v>0</v>
      </c>
      <c r="L43" s="228"/>
    </row>
    <row r="44" spans="1:12" ht="14.25" outlineLevel="2">
      <c r="A44" s="240"/>
      <c r="B44" s="243" t="s">
        <v>182</v>
      </c>
      <c r="C44" s="13" t="s">
        <v>195</v>
      </c>
      <c r="D44" s="19" t="s">
        <v>23</v>
      </c>
      <c r="E44" s="19" t="s">
        <v>23</v>
      </c>
      <c r="F44" s="19">
        <v>1306</v>
      </c>
      <c r="G44" s="13" t="s">
        <v>175</v>
      </c>
      <c r="H44" s="21">
        <v>37134</v>
      </c>
      <c r="I44" s="22" t="s">
        <v>552</v>
      </c>
      <c r="J44" s="25">
        <v>44004</v>
      </c>
      <c r="K44" s="55">
        <v>0</v>
      </c>
      <c r="L44" s="228"/>
    </row>
    <row r="45" spans="1:13" s="34" customFormat="1" ht="15" outlineLevel="1">
      <c r="A45" s="239"/>
      <c r="B45" s="230" t="s">
        <v>43</v>
      </c>
      <c r="C45" s="24">
        <f>COUNT(J40:J44)</f>
        <v>4</v>
      </c>
      <c r="D45" s="19"/>
      <c r="E45" s="19"/>
      <c r="F45" s="20"/>
      <c r="G45" s="24"/>
      <c r="H45" s="58"/>
      <c r="I45" s="59"/>
      <c r="J45" s="26">
        <f>SUBTOTAL(9,J41:J44)</f>
        <v>200412</v>
      </c>
      <c r="K45" s="55">
        <f>SUM(K41:K44)</f>
        <v>0</v>
      </c>
      <c r="L45" s="229"/>
      <c r="M45" s="80"/>
    </row>
    <row r="46" spans="1:13" s="34" customFormat="1" ht="15" outlineLevel="1">
      <c r="A46" s="239"/>
      <c r="B46" s="230"/>
      <c r="C46" s="24"/>
      <c r="D46" s="19"/>
      <c r="E46" s="19"/>
      <c r="F46" s="20"/>
      <c r="G46" s="24"/>
      <c r="H46" s="58"/>
      <c r="I46" s="59"/>
      <c r="J46" s="26"/>
      <c r="K46" s="26"/>
      <c r="L46" s="229"/>
      <c r="M46" s="80"/>
    </row>
    <row r="47" spans="1:13" s="34" customFormat="1" ht="15" outlineLevel="1">
      <c r="A47" s="239"/>
      <c r="B47" s="230"/>
      <c r="C47" s="24"/>
      <c r="D47" s="19"/>
      <c r="E47" s="19"/>
      <c r="F47" s="20"/>
      <c r="G47" s="24"/>
      <c r="H47" s="58"/>
      <c r="I47" s="59"/>
      <c r="J47" s="26"/>
      <c r="K47" s="26"/>
      <c r="L47" s="229"/>
      <c r="M47" s="80"/>
    </row>
    <row r="48" spans="1:13" ht="14.25" outlineLevel="1">
      <c r="A48" s="240"/>
      <c r="B48" s="245" t="s">
        <v>277</v>
      </c>
      <c r="C48" s="13" t="s">
        <v>201</v>
      </c>
      <c r="D48" s="19" t="s">
        <v>23</v>
      </c>
      <c r="E48" s="19" t="s">
        <v>23</v>
      </c>
      <c r="F48" s="19">
        <v>1936</v>
      </c>
      <c r="G48" s="13" t="s">
        <v>202</v>
      </c>
      <c r="H48" s="21">
        <v>37256</v>
      </c>
      <c r="I48" s="22" t="s">
        <v>552</v>
      </c>
      <c r="J48" s="25">
        <v>79212</v>
      </c>
      <c r="K48" s="55">
        <v>0</v>
      </c>
      <c r="L48" s="228"/>
      <c r="M48" s="144"/>
    </row>
    <row r="49" spans="1:13" ht="14.25" outlineLevel="1">
      <c r="A49" s="240"/>
      <c r="B49" s="245" t="s">
        <v>278</v>
      </c>
      <c r="C49" s="13" t="s">
        <v>408</v>
      </c>
      <c r="D49" s="19" t="s">
        <v>23</v>
      </c>
      <c r="E49" s="19" t="s">
        <v>23</v>
      </c>
      <c r="F49" s="19">
        <v>440</v>
      </c>
      <c r="G49" s="13" t="s">
        <v>202</v>
      </c>
      <c r="H49" s="21">
        <v>37394</v>
      </c>
      <c r="I49" s="22" t="s">
        <v>552</v>
      </c>
      <c r="J49" s="25">
        <v>58140</v>
      </c>
      <c r="K49" s="55">
        <v>9690</v>
      </c>
      <c r="L49" s="228"/>
      <c r="M49" s="144"/>
    </row>
    <row r="50" spans="1:13" ht="14.25" outlineLevel="1">
      <c r="A50" s="240"/>
      <c r="B50" s="245" t="s">
        <v>278</v>
      </c>
      <c r="C50" s="13" t="s">
        <v>224</v>
      </c>
      <c r="D50" s="19" t="s">
        <v>23</v>
      </c>
      <c r="E50" s="19" t="s">
        <v>23</v>
      </c>
      <c r="F50" s="19">
        <v>225</v>
      </c>
      <c r="G50" s="13" t="s">
        <v>235</v>
      </c>
      <c r="H50" s="21">
        <v>37256</v>
      </c>
      <c r="I50" s="22" t="s">
        <v>552</v>
      </c>
      <c r="J50" s="25">
        <v>56784</v>
      </c>
      <c r="K50" s="55">
        <v>0</v>
      </c>
      <c r="L50" s="228"/>
      <c r="M50" s="144"/>
    </row>
    <row r="51" spans="1:13" ht="14.25" outlineLevel="1">
      <c r="A51" s="240"/>
      <c r="B51" s="245" t="s">
        <v>275</v>
      </c>
      <c r="C51" s="13" t="s">
        <v>276</v>
      </c>
      <c r="D51" s="19" t="s">
        <v>23</v>
      </c>
      <c r="E51" s="19" t="s">
        <v>23</v>
      </c>
      <c r="F51" s="19">
        <v>1817</v>
      </c>
      <c r="G51" s="13" t="s">
        <v>202</v>
      </c>
      <c r="H51" s="21">
        <v>37394</v>
      </c>
      <c r="I51" s="22" t="s">
        <v>552</v>
      </c>
      <c r="J51" s="25">
        <v>72084</v>
      </c>
      <c r="K51" s="25">
        <v>12014</v>
      </c>
      <c r="L51" s="228"/>
      <c r="M51" s="144"/>
    </row>
    <row r="52" spans="1:13" ht="14.25" outlineLevel="1">
      <c r="A52" s="240"/>
      <c r="B52" s="245" t="s">
        <v>409</v>
      </c>
      <c r="C52" s="13" t="s">
        <v>410</v>
      </c>
      <c r="D52" s="19" t="s">
        <v>23</v>
      </c>
      <c r="E52" s="19" t="s">
        <v>23</v>
      </c>
      <c r="F52" s="19">
        <v>1785</v>
      </c>
      <c r="G52" s="13" t="s">
        <v>261</v>
      </c>
      <c r="H52" s="21">
        <v>37394</v>
      </c>
      <c r="I52" s="22" t="s">
        <v>552</v>
      </c>
      <c r="J52" s="25">
        <v>35088</v>
      </c>
      <c r="K52" s="25">
        <v>5848</v>
      </c>
      <c r="L52" s="228" t="s">
        <v>547</v>
      </c>
      <c r="M52" s="144"/>
    </row>
    <row r="53" spans="1:12" ht="14.25" outlineLevel="2">
      <c r="A53" s="240"/>
      <c r="B53" s="245" t="s">
        <v>277</v>
      </c>
      <c r="C53" s="13" t="s">
        <v>504</v>
      </c>
      <c r="D53" s="19" t="s">
        <v>23</v>
      </c>
      <c r="E53" s="19" t="s">
        <v>23</v>
      </c>
      <c r="F53" s="19">
        <v>1328</v>
      </c>
      <c r="G53" s="13" t="s">
        <v>123</v>
      </c>
      <c r="H53" s="21">
        <v>37256</v>
      </c>
      <c r="I53" s="22" t="s">
        <v>552</v>
      </c>
      <c r="J53" s="23">
        <v>57144</v>
      </c>
      <c r="K53" s="55">
        <v>0</v>
      </c>
      <c r="L53" s="228"/>
    </row>
    <row r="54" spans="1:12" s="34" customFormat="1" ht="15" outlineLevel="1">
      <c r="A54" s="239"/>
      <c r="B54" s="230" t="s">
        <v>44</v>
      </c>
      <c r="C54" s="24">
        <f>COUNT(J47:J53)</f>
        <v>6</v>
      </c>
      <c r="D54" s="19"/>
      <c r="E54" s="19"/>
      <c r="F54" s="20"/>
      <c r="G54" s="24"/>
      <c r="H54" s="58"/>
      <c r="I54" s="59"/>
      <c r="J54" s="60">
        <f>SUBTOTAL(9,J48:J53)</f>
        <v>358452</v>
      </c>
      <c r="K54" s="60">
        <f>SUM(K48:K53)</f>
        <v>27552</v>
      </c>
      <c r="L54" s="229"/>
    </row>
    <row r="55" spans="1:12" s="34" customFormat="1" ht="15" outlineLevel="1">
      <c r="A55" s="239"/>
      <c r="B55" s="230"/>
      <c r="C55" s="24"/>
      <c r="D55" s="19"/>
      <c r="E55" s="19"/>
      <c r="F55" s="20"/>
      <c r="G55" s="24"/>
      <c r="H55" s="58"/>
      <c r="I55" s="59"/>
      <c r="J55" s="60"/>
      <c r="K55" s="60"/>
      <c r="L55" s="229"/>
    </row>
    <row r="56" spans="1:12" s="34" customFormat="1" ht="15" outlineLevel="1">
      <c r="A56" s="239"/>
      <c r="B56" s="230"/>
      <c r="C56" s="24"/>
      <c r="D56" s="19"/>
      <c r="E56" s="19"/>
      <c r="F56" s="20"/>
      <c r="G56" s="24"/>
      <c r="H56" s="58"/>
      <c r="I56" s="59"/>
      <c r="J56" s="60"/>
      <c r="K56" s="60"/>
      <c r="L56" s="229"/>
    </row>
    <row r="57" spans="1:12" s="34" customFormat="1" ht="15" outlineLevel="1">
      <c r="A57" s="240"/>
      <c r="B57" s="243" t="s">
        <v>218</v>
      </c>
      <c r="C57" s="13" t="s">
        <v>221</v>
      </c>
      <c r="D57" s="19" t="s">
        <v>23</v>
      </c>
      <c r="E57" s="19" t="s">
        <v>23</v>
      </c>
      <c r="F57" s="19">
        <v>1570</v>
      </c>
      <c r="G57" s="13" t="s">
        <v>190</v>
      </c>
      <c r="H57" s="21">
        <v>37071</v>
      </c>
      <c r="I57" s="22" t="s">
        <v>553</v>
      </c>
      <c r="J57" s="23">
        <v>58248</v>
      </c>
      <c r="K57" s="55">
        <v>0</v>
      </c>
      <c r="L57" s="228"/>
    </row>
    <row r="58" spans="1:12" s="34" customFormat="1" ht="15" outlineLevel="1">
      <c r="A58" s="240"/>
      <c r="B58" s="243" t="s">
        <v>218</v>
      </c>
      <c r="C58" s="13" t="s">
        <v>220</v>
      </c>
      <c r="D58" s="19" t="s">
        <v>23</v>
      </c>
      <c r="E58" s="19" t="s">
        <v>23</v>
      </c>
      <c r="F58" s="19">
        <v>1440</v>
      </c>
      <c r="G58" s="13" t="s">
        <v>235</v>
      </c>
      <c r="H58" s="21">
        <v>37399</v>
      </c>
      <c r="I58" s="22" t="s">
        <v>553</v>
      </c>
      <c r="J58" s="23">
        <v>117492</v>
      </c>
      <c r="K58" s="55">
        <v>0</v>
      </c>
      <c r="L58" s="228"/>
    </row>
    <row r="59" spans="1:12" s="34" customFormat="1" ht="15" outlineLevel="1">
      <c r="A59" s="240"/>
      <c r="B59" s="243" t="s">
        <v>218</v>
      </c>
      <c r="C59" s="13" t="s">
        <v>219</v>
      </c>
      <c r="D59" s="19" t="s">
        <v>23</v>
      </c>
      <c r="E59" s="19" t="s">
        <v>23</v>
      </c>
      <c r="F59" s="19">
        <v>1376</v>
      </c>
      <c r="G59" s="13" t="s">
        <v>123</v>
      </c>
      <c r="H59" s="21">
        <v>37256</v>
      </c>
      <c r="I59" s="22" t="s">
        <v>553</v>
      </c>
      <c r="J59" s="23">
        <v>104532</v>
      </c>
      <c r="K59" s="55">
        <v>0</v>
      </c>
      <c r="L59" s="228"/>
    </row>
    <row r="60" spans="1:12" s="34" customFormat="1" ht="15" outlineLevel="1">
      <c r="A60" s="240"/>
      <c r="B60" s="243" t="s">
        <v>218</v>
      </c>
      <c r="C60" s="13" t="s">
        <v>403</v>
      </c>
      <c r="D60" s="19" t="s">
        <v>23</v>
      </c>
      <c r="E60" s="19" t="s">
        <v>23</v>
      </c>
      <c r="F60" s="19">
        <v>1438</v>
      </c>
      <c r="G60" s="13" t="s">
        <v>338</v>
      </c>
      <c r="H60" s="21">
        <v>37386</v>
      </c>
      <c r="I60" s="22" t="s">
        <v>553</v>
      </c>
      <c r="J60" s="23">
        <v>130596</v>
      </c>
      <c r="K60" s="23">
        <v>7098</v>
      </c>
      <c r="L60" s="228"/>
    </row>
    <row r="61" spans="1:12" s="34" customFormat="1" ht="15" outlineLevel="1">
      <c r="A61" s="240"/>
      <c r="B61" s="243" t="s">
        <v>241</v>
      </c>
      <c r="C61" s="13" t="s">
        <v>242</v>
      </c>
      <c r="D61" s="19" t="s">
        <v>23</v>
      </c>
      <c r="E61" s="19" t="s">
        <v>23</v>
      </c>
      <c r="F61" s="19">
        <v>1638</v>
      </c>
      <c r="G61" s="13" t="s">
        <v>235</v>
      </c>
      <c r="H61" s="21">
        <v>37400</v>
      </c>
      <c r="I61" s="22" t="s">
        <v>553</v>
      </c>
      <c r="J61" s="23">
        <v>117888</v>
      </c>
      <c r="K61" s="55">
        <v>0</v>
      </c>
      <c r="L61" s="228"/>
    </row>
    <row r="62" spans="1:12" s="34" customFormat="1" ht="15" outlineLevel="1">
      <c r="A62" s="240"/>
      <c r="B62" s="243" t="s">
        <v>241</v>
      </c>
      <c r="C62" s="13" t="s">
        <v>269</v>
      </c>
      <c r="D62" s="19" t="s">
        <v>23</v>
      </c>
      <c r="E62" s="19"/>
      <c r="F62" s="19">
        <v>1579</v>
      </c>
      <c r="G62" s="13" t="s">
        <v>270</v>
      </c>
      <c r="H62" s="21">
        <v>37071</v>
      </c>
      <c r="I62" s="22" t="s">
        <v>553</v>
      </c>
      <c r="J62" s="23">
        <v>35364</v>
      </c>
      <c r="K62" s="55">
        <v>0</v>
      </c>
      <c r="L62" s="228"/>
    </row>
    <row r="63" spans="1:12" s="34" customFormat="1" ht="15" outlineLevel="1">
      <c r="A63" s="240"/>
      <c r="B63" s="243" t="s">
        <v>259</v>
      </c>
      <c r="C63" s="13" t="s">
        <v>260</v>
      </c>
      <c r="D63" s="19" t="s">
        <v>23</v>
      </c>
      <c r="E63" s="19" t="s">
        <v>23</v>
      </c>
      <c r="F63" s="19">
        <v>1602</v>
      </c>
      <c r="G63" s="13" t="s">
        <v>261</v>
      </c>
      <c r="H63" s="21">
        <v>37407</v>
      </c>
      <c r="I63" s="22" t="s">
        <v>553</v>
      </c>
      <c r="J63" s="23">
        <v>40848</v>
      </c>
      <c r="K63" s="55">
        <v>0</v>
      </c>
      <c r="L63" s="228"/>
    </row>
    <row r="64" spans="1:12" s="34" customFormat="1" ht="15" outlineLevel="1">
      <c r="A64" s="240"/>
      <c r="B64" s="243" t="s">
        <v>259</v>
      </c>
      <c r="C64" s="13" t="s">
        <v>262</v>
      </c>
      <c r="D64" s="19" t="s">
        <v>23</v>
      </c>
      <c r="E64" s="19" t="s">
        <v>23</v>
      </c>
      <c r="F64" s="19">
        <v>1082</v>
      </c>
      <c r="G64" s="13" t="s">
        <v>13</v>
      </c>
      <c r="H64" s="21">
        <v>37394</v>
      </c>
      <c r="I64" s="22" t="s">
        <v>552</v>
      </c>
      <c r="J64" s="23">
        <v>43200</v>
      </c>
      <c r="K64" s="23">
        <v>7200</v>
      </c>
      <c r="L64" s="228"/>
    </row>
    <row r="65" spans="1:12" s="34" customFormat="1" ht="15" outlineLevel="1">
      <c r="A65" s="240" t="s">
        <v>9</v>
      </c>
      <c r="B65" s="243" t="s">
        <v>45</v>
      </c>
      <c r="C65" s="13" t="s">
        <v>196</v>
      </c>
      <c r="D65" s="19" t="s">
        <v>23</v>
      </c>
      <c r="E65" s="19" t="s">
        <v>23</v>
      </c>
      <c r="F65" s="19">
        <v>1040</v>
      </c>
      <c r="G65" s="13" t="s">
        <v>13</v>
      </c>
      <c r="H65" s="21">
        <v>37103</v>
      </c>
      <c r="I65" s="22" t="s">
        <v>552</v>
      </c>
      <c r="J65" s="23">
        <v>40404</v>
      </c>
      <c r="K65" s="55">
        <v>0</v>
      </c>
      <c r="L65" s="228"/>
    </row>
    <row r="66" spans="1:12" s="34" customFormat="1" ht="15" outlineLevel="1">
      <c r="A66" s="240"/>
      <c r="B66" s="243" t="s">
        <v>45</v>
      </c>
      <c r="C66" s="13" t="s">
        <v>249</v>
      </c>
      <c r="D66" s="19" t="s">
        <v>23</v>
      </c>
      <c r="E66" s="19" t="s">
        <v>23</v>
      </c>
      <c r="F66" s="19">
        <v>307</v>
      </c>
      <c r="G66" s="13" t="s">
        <v>13</v>
      </c>
      <c r="H66" s="21">
        <v>37394</v>
      </c>
      <c r="I66" s="22" t="s">
        <v>552</v>
      </c>
      <c r="J66" s="23">
        <v>38004</v>
      </c>
      <c r="K66" s="23">
        <v>6334</v>
      </c>
      <c r="L66" s="228"/>
    </row>
    <row r="67" spans="1:12" s="34" customFormat="1" ht="15" outlineLevel="1">
      <c r="A67" s="240"/>
      <c r="B67" s="243" t="s">
        <v>45</v>
      </c>
      <c r="C67" s="13" t="s">
        <v>250</v>
      </c>
      <c r="D67" s="19" t="s">
        <v>23</v>
      </c>
      <c r="E67" s="19" t="s">
        <v>23</v>
      </c>
      <c r="F67" s="19">
        <v>928</v>
      </c>
      <c r="G67" s="13" t="s">
        <v>13</v>
      </c>
      <c r="H67" s="21">
        <v>37394</v>
      </c>
      <c r="I67" s="22" t="s">
        <v>552</v>
      </c>
      <c r="J67" s="23">
        <v>38400</v>
      </c>
      <c r="K67" s="23">
        <v>6400</v>
      </c>
      <c r="L67" s="228"/>
    </row>
    <row r="68" spans="1:12" s="34" customFormat="1" ht="15" outlineLevel="1">
      <c r="A68" s="240"/>
      <c r="B68" s="243" t="s">
        <v>189</v>
      </c>
      <c r="C68" s="13" t="s">
        <v>252</v>
      </c>
      <c r="D68" s="19" t="s">
        <v>23</v>
      </c>
      <c r="E68" s="19" t="s">
        <v>23</v>
      </c>
      <c r="F68" s="19">
        <v>477</v>
      </c>
      <c r="G68" s="13" t="s">
        <v>24</v>
      </c>
      <c r="H68" s="21">
        <v>37394</v>
      </c>
      <c r="I68" s="22" t="s">
        <v>552</v>
      </c>
      <c r="J68" s="23">
        <v>33804</v>
      </c>
      <c r="K68" s="23">
        <v>5634</v>
      </c>
      <c r="L68" s="228"/>
    </row>
    <row r="69" spans="1:12" s="34" customFormat="1" ht="15" outlineLevel="1">
      <c r="A69" s="240"/>
      <c r="B69" s="243" t="s">
        <v>189</v>
      </c>
      <c r="C69" s="13" t="s">
        <v>197</v>
      </c>
      <c r="D69" s="19" t="s">
        <v>23</v>
      </c>
      <c r="E69" s="19" t="s">
        <v>23</v>
      </c>
      <c r="F69" s="19">
        <v>1645</v>
      </c>
      <c r="G69" s="13" t="s">
        <v>190</v>
      </c>
      <c r="H69" s="21">
        <v>37246</v>
      </c>
      <c r="I69" s="22" t="s">
        <v>552</v>
      </c>
      <c r="J69" s="23">
        <v>46764</v>
      </c>
      <c r="K69" s="55">
        <v>0</v>
      </c>
      <c r="L69" s="228"/>
    </row>
    <row r="70" spans="1:12" s="34" customFormat="1" ht="15" outlineLevel="1">
      <c r="A70" s="240"/>
      <c r="B70" s="243" t="s">
        <v>189</v>
      </c>
      <c r="C70" s="13" t="s">
        <v>281</v>
      </c>
      <c r="D70" s="19" t="s">
        <v>23</v>
      </c>
      <c r="E70" s="19" t="s">
        <v>23</v>
      </c>
      <c r="F70" s="19">
        <v>365</v>
      </c>
      <c r="G70" s="13" t="s">
        <v>190</v>
      </c>
      <c r="H70" s="21">
        <v>37394</v>
      </c>
      <c r="I70" s="22" t="s">
        <v>552</v>
      </c>
      <c r="J70" s="23">
        <v>44004</v>
      </c>
      <c r="K70" s="23">
        <v>7334</v>
      </c>
      <c r="L70" s="228"/>
    </row>
    <row r="71" spans="1:12" s="34" customFormat="1" ht="15" outlineLevel="1">
      <c r="A71" s="240"/>
      <c r="B71" s="243" t="s">
        <v>189</v>
      </c>
      <c r="C71" s="13" t="s">
        <v>404</v>
      </c>
      <c r="D71" s="19" t="s">
        <v>23</v>
      </c>
      <c r="E71" s="19" t="s">
        <v>23</v>
      </c>
      <c r="F71" s="19">
        <v>122</v>
      </c>
      <c r="G71" s="13" t="s">
        <v>261</v>
      </c>
      <c r="H71" s="21">
        <v>37394</v>
      </c>
      <c r="I71" s="22" t="s">
        <v>552</v>
      </c>
      <c r="J71" s="23">
        <v>43500</v>
      </c>
      <c r="K71" s="23">
        <v>7250</v>
      </c>
      <c r="L71" s="228"/>
    </row>
    <row r="72" spans="1:12" s="34" customFormat="1" ht="15" outlineLevel="1">
      <c r="A72" s="240"/>
      <c r="B72" s="243" t="s">
        <v>189</v>
      </c>
      <c r="C72" s="13" t="s">
        <v>405</v>
      </c>
      <c r="D72" s="19" t="s">
        <v>23</v>
      </c>
      <c r="E72" s="19" t="s">
        <v>23</v>
      </c>
      <c r="F72" s="19">
        <v>1071</v>
      </c>
      <c r="G72" s="13" t="s">
        <v>205</v>
      </c>
      <c r="H72" s="21">
        <v>37246</v>
      </c>
      <c r="I72" s="22" t="s">
        <v>552</v>
      </c>
      <c r="J72" s="23">
        <v>53340</v>
      </c>
      <c r="K72" s="55">
        <v>0</v>
      </c>
      <c r="L72" s="228"/>
    </row>
    <row r="73" spans="1:12" s="34" customFormat="1" ht="15" outlineLevel="1">
      <c r="A73" s="240"/>
      <c r="B73" s="243" t="s">
        <v>233</v>
      </c>
      <c r="C73" s="13" t="s">
        <v>234</v>
      </c>
      <c r="D73" s="19" t="s">
        <v>23</v>
      </c>
      <c r="E73" s="19" t="s">
        <v>23</v>
      </c>
      <c r="F73" s="19">
        <v>925</v>
      </c>
      <c r="G73" s="13" t="s">
        <v>235</v>
      </c>
      <c r="H73" s="21">
        <v>37251</v>
      </c>
      <c r="I73" s="22" t="s">
        <v>552</v>
      </c>
      <c r="J73" s="23">
        <v>45000</v>
      </c>
      <c r="K73" s="55">
        <v>0</v>
      </c>
      <c r="L73" s="228"/>
    </row>
    <row r="74" spans="1:12" s="34" customFormat="1" ht="15" outlineLevel="1">
      <c r="A74" s="240"/>
      <c r="B74" s="243" t="s">
        <v>233</v>
      </c>
      <c r="C74" s="13" t="s">
        <v>251</v>
      </c>
      <c r="D74" s="19" t="s">
        <v>23</v>
      </c>
      <c r="E74" s="19" t="s">
        <v>23</v>
      </c>
      <c r="F74" s="19">
        <v>302</v>
      </c>
      <c r="G74" s="13" t="s">
        <v>24</v>
      </c>
      <c r="H74" s="21">
        <v>37435</v>
      </c>
      <c r="I74" s="22" t="s">
        <v>553</v>
      </c>
      <c r="J74" s="23">
        <v>80496</v>
      </c>
      <c r="K74" s="23">
        <v>6400</v>
      </c>
      <c r="L74" s="228"/>
    </row>
    <row r="75" spans="1:12" ht="14.25" outlineLevel="2">
      <c r="A75" s="240" t="s">
        <v>9</v>
      </c>
      <c r="B75" s="243" t="s">
        <v>61</v>
      </c>
      <c r="C75" s="13" t="s">
        <v>198</v>
      </c>
      <c r="D75" s="19" t="s">
        <v>23</v>
      </c>
      <c r="E75" s="19" t="s">
        <v>23</v>
      </c>
      <c r="F75" s="19">
        <v>369</v>
      </c>
      <c r="G75" s="13" t="s">
        <v>24</v>
      </c>
      <c r="H75" s="21">
        <v>37134</v>
      </c>
      <c r="I75" s="22">
        <v>9</v>
      </c>
      <c r="J75" s="23">
        <v>87708</v>
      </c>
      <c r="K75" s="55">
        <v>0</v>
      </c>
      <c r="L75" s="228"/>
    </row>
    <row r="76" spans="1:12" ht="14.25" outlineLevel="2">
      <c r="A76" s="240" t="s">
        <v>9</v>
      </c>
      <c r="B76" s="243" t="s">
        <v>61</v>
      </c>
      <c r="C76" s="13" t="s">
        <v>199</v>
      </c>
      <c r="D76" s="19" t="s">
        <v>23</v>
      </c>
      <c r="E76" s="19" t="s">
        <v>23</v>
      </c>
      <c r="F76" s="19">
        <v>2515</v>
      </c>
      <c r="G76" s="13" t="s">
        <v>123</v>
      </c>
      <c r="H76" s="21">
        <v>37134</v>
      </c>
      <c r="I76" s="22" t="s">
        <v>553</v>
      </c>
      <c r="J76" s="23">
        <v>55968</v>
      </c>
      <c r="K76" s="55">
        <v>0</v>
      </c>
      <c r="L76" s="228"/>
    </row>
    <row r="77" spans="1:12" s="34" customFormat="1" ht="15" outlineLevel="1">
      <c r="A77" s="239"/>
      <c r="B77" s="230" t="s">
        <v>46</v>
      </c>
      <c r="C77" s="24">
        <f>COUNT(J57:J76)</f>
        <v>20</v>
      </c>
      <c r="D77" s="19"/>
      <c r="E77" s="19"/>
      <c r="F77" s="20"/>
      <c r="G77" s="24"/>
      <c r="H77" s="58"/>
      <c r="I77" s="59"/>
      <c r="J77" s="60">
        <f>SUBTOTAL(9,J57:J76)</f>
        <v>1255560</v>
      </c>
      <c r="K77" s="60">
        <f>SUBTOTAL(9,K57:K76)</f>
        <v>53650</v>
      </c>
      <c r="L77" s="229"/>
    </row>
    <row r="78" spans="1:12" s="34" customFormat="1" ht="15" outlineLevel="1">
      <c r="A78" s="239"/>
      <c r="B78" s="230"/>
      <c r="C78" s="24"/>
      <c r="D78" s="19"/>
      <c r="E78" s="19"/>
      <c r="F78" s="20"/>
      <c r="G78" s="24"/>
      <c r="H78" s="58"/>
      <c r="I78" s="59"/>
      <c r="J78" s="60"/>
      <c r="K78" s="60"/>
      <c r="L78" s="229"/>
    </row>
    <row r="79" spans="1:12" s="34" customFormat="1" ht="15" outlineLevel="1">
      <c r="A79" s="239"/>
      <c r="B79" s="230"/>
      <c r="C79" s="24"/>
      <c r="D79" s="19"/>
      <c r="E79" s="19"/>
      <c r="F79" s="20"/>
      <c r="G79" s="24"/>
      <c r="H79" s="58"/>
      <c r="I79" s="59"/>
      <c r="J79" s="60"/>
      <c r="K79" s="60"/>
      <c r="L79" s="229"/>
    </row>
    <row r="80" spans="1:12" ht="14.25" outlineLevel="1">
      <c r="A80" s="240"/>
      <c r="B80" s="227"/>
      <c r="C80" s="13" t="s">
        <v>204</v>
      </c>
      <c r="D80" s="19" t="s">
        <v>23</v>
      </c>
      <c r="E80" s="19" t="s">
        <v>23</v>
      </c>
      <c r="F80" s="19">
        <v>183</v>
      </c>
      <c r="G80" s="13" t="s">
        <v>24</v>
      </c>
      <c r="H80" s="21">
        <v>37394</v>
      </c>
      <c r="I80" s="22" t="s">
        <v>552</v>
      </c>
      <c r="J80" s="23">
        <v>89556</v>
      </c>
      <c r="K80" s="23">
        <v>14926</v>
      </c>
      <c r="L80" s="228"/>
    </row>
    <row r="81" spans="1:12" ht="14.25" outlineLevel="1">
      <c r="A81" s="240"/>
      <c r="B81" s="227"/>
      <c r="C81" s="13" t="s">
        <v>266</v>
      </c>
      <c r="D81" s="19" t="s">
        <v>23</v>
      </c>
      <c r="E81" s="19" t="s">
        <v>23</v>
      </c>
      <c r="F81" s="19">
        <v>667</v>
      </c>
      <c r="G81" s="13" t="s">
        <v>407</v>
      </c>
      <c r="H81" s="21">
        <v>37417</v>
      </c>
      <c r="I81" s="22" t="s">
        <v>553</v>
      </c>
      <c r="J81" s="23">
        <v>80100</v>
      </c>
      <c r="K81" s="55">
        <v>0</v>
      </c>
      <c r="L81" s="228" t="s">
        <v>548</v>
      </c>
    </row>
    <row r="82" spans="1:12" ht="14.25" outlineLevel="1">
      <c r="A82" s="240"/>
      <c r="B82" s="227"/>
      <c r="C82" s="13" t="s">
        <v>406</v>
      </c>
      <c r="D82" s="19" t="s">
        <v>23</v>
      </c>
      <c r="E82" s="19" t="s">
        <v>23</v>
      </c>
      <c r="F82" s="19">
        <v>336</v>
      </c>
      <c r="G82" s="13" t="s">
        <v>24</v>
      </c>
      <c r="H82" s="21">
        <v>37394</v>
      </c>
      <c r="I82" s="22" t="s">
        <v>552</v>
      </c>
      <c r="J82" s="23">
        <v>85560</v>
      </c>
      <c r="K82" s="23">
        <v>14260</v>
      </c>
      <c r="L82" s="228"/>
    </row>
    <row r="83" spans="1:12" ht="14.25" outlineLevel="1">
      <c r="A83" s="240" t="s">
        <v>10</v>
      </c>
      <c r="B83" s="243"/>
      <c r="C83" s="13" t="s">
        <v>203</v>
      </c>
      <c r="D83" s="19" t="s">
        <v>23</v>
      </c>
      <c r="E83" s="19" t="s">
        <v>23</v>
      </c>
      <c r="F83" s="19">
        <v>1866</v>
      </c>
      <c r="G83" s="13" t="s">
        <v>205</v>
      </c>
      <c r="H83" s="21">
        <v>37394</v>
      </c>
      <c r="I83" s="22" t="s">
        <v>552</v>
      </c>
      <c r="J83" s="55">
        <v>67332</v>
      </c>
      <c r="K83" s="23">
        <v>11222</v>
      </c>
      <c r="L83" s="228"/>
    </row>
    <row r="84" spans="1:12" s="34" customFormat="1" ht="15" outlineLevel="1">
      <c r="A84" s="239"/>
      <c r="B84" s="230" t="s">
        <v>105</v>
      </c>
      <c r="C84" s="24">
        <f>COUNT(J79:J83)</f>
        <v>4</v>
      </c>
      <c r="D84" s="19"/>
      <c r="E84" s="19"/>
      <c r="F84" s="20"/>
      <c r="G84" s="24"/>
      <c r="H84" s="58"/>
      <c r="I84" s="59"/>
      <c r="J84" s="60">
        <f>SUBTOTAL(9,J79:J83)</f>
        <v>322548</v>
      </c>
      <c r="K84" s="60">
        <f>SUBTOTAL(9,K79:K83)</f>
        <v>40408</v>
      </c>
      <c r="L84" s="229"/>
    </row>
    <row r="85" spans="1:12" s="34" customFormat="1" ht="15" outlineLevel="1">
      <c r="A85" s="239"/>
      <c r="B85" s="230"/>
      <c r="C85" s="24"/>
      <c r="D85" s="19"/>
      <c r="E85" s="19"/>
      <c r="F85" s="20"/>
      <c r="G85" s="24"/>
      <c r="H85" s="58"/>
      <c r="I85" s="59"/>
      <c r="J85" s="60"/>
      <c r="K85" s="60"/>
      <c r="L85" s="229"/>
    </row>
    <row r="86" spans="1:12" ht="14.25" outlineLevel="2">
      <c r="A86" s="240" t="s">
        <v>0</v>
      </c>
      <c r="B86" s="243"/>
      <c r="C86" s="13"/>
      <c r="D86" s="19"/>
      <c r="E86" s="19"/>
      <c r="F86" s="19"/>
      <c r="G86" s="13"/>
      <c r="H86" s="21"/>
      <c r="I86" s="22"/>
      <c r="J86" s="23"/>
      <c r="K86" s="55"/>
      <c r="L86" s="228"/>
    </row>
    <row r="87" spans="1:12" s="34" customFormat="1" ht="15" outlineLevel="1">
      <c r="A87" s="239"/>
      <c r="B87" s="230" t="s">
        <v>47</v>
      </c>
      <c r="C87" s="24">
        <f>COUNT(J86:J86)</f>
        <v>0</v>
      </c>
      <c r="D87" s="19"/>
      <c r="E87" s="19"/>
      <c r="F87" s="20"/>
      <c r="G87" s="24"/>
      <c r="H87" s="58"/>
      <c r="I87" s="59"/>
      <c r="J87" s="55">
        <v>0</v>
      </c>
      <c r="K87" s="55">
        <v>0</v>
      </c>
      <c r="L87" s="229"/>
    </row>
    <row r="88" spans="1:12" s="34" customFormat="1" ht="15" outlineLevel="1">
      <c r="A88" s="239"/>
      <c r="B88" s="230"/>
      <c r="C88" s="24"/>
      <c r="D88" s="19"/>
      <c r="E88" s="19"/>
      <c r="F88" s="20"/>
      <c r="G88" s="24"/>
      <c r="H88" s="58"/>
      <c r="I88" s="59"/>
      <c r="J88" s="60"/>
      <c r="K88" s="60"/>
      <c r="L88" s="229"/>
    </row>
    <row r="89" spans="1:12" ht="15.75" thickBot="1">
      <c r="A89" s="242"/>
      <c r="B89" s="246" t="s">
        <v>163</v>
      </c>
      <c r="C89" s="231">
        <f>SUM(C6:C87)</f>
        <v>59</v>
      </c>
      <c r="D89" s="232"/>
      <c r="E89" s="232"/>
      <c r="F89" s="232"/>
      <c r="G89" s="233"/>
      <c r="H89" s="234"/>
      <c r="I89" s="235"/>
      <c r="J89" s="236">
        <f>+J84+J77+J54+J45+J38+J30+J15</f>
        <v>3577310.08</v>
      </c>
      <c r="K89" s="236">
        <f>+K84+K77+K54+K45+K38+K30+K15</f>
        <v>226067</v>
      </c>
      <c r="L89" s="237"/>
    </row>
    <row r="90" spans="1:10" ht="15.75" thickTop="1">
      <c r="A90" s="30"/>
      <c r="B90" s="28"/>
      <c r="C90" s="28"/>
      <c r="D90" s="29"/>
      <c r="E90" s="29"/>
      <c r="F90" s="30"/>
      <c r="G90" s="28"/>
      <c r="H90" s="31"/>
      <c r="I90" s="32"/>
      <c r="J90" s="33"/>
    </row>
    <row r="91" spans="1:10" ht="15">
      <c r="A91" s="30"/>
      <c r="B91" s="28"/>
      <c r="C91" s="28"/>
      <c r="D91" s="29"/>
      <c r="E91" s="29"/>
      <c r="F91" s="30"/>
      <c r="G91" s="28"/>
      <c r="H91" s="31"/>
      <c r="I91" s="32"/>
      <c r="J91" s="33"/>
    </row>
    <row r="92" spans="1:10" ht="15">
      <c r="A92" s="30"/>
      <c r="B92" s="28"/>
      <c r="C92" s="28"/>
      <c r="D92" s="29"/>
      <c r="E92" s="29"/>
      <c r="F92" s="30"/>
      <c r="G92" s="28"/>
      <c r="H92" s="31"/>
      <c r="I92" s="32"/>
      <c r="J92" s="33"/>
    </row>
    <row r="93" spans="1:11" ht="15">
      <c r="A93" s="30"/>
      <c r="B93" s="28"/>
      <c r="C93" s="28"/>
      <c r="D93" s="29"/>
      <c r="E93" s="29"/>
      <c r="F93" s="30"/>
      <c r="G93" s="28"/>
      <c r="H93" s="31"/>
      <c r="I93" s="32"/>
      <c r="J93" s="33"/>
      <c r="K93" s="147"/>
    </row>
    <row r="94" spans="1:10" ht="15">
      <c r="A94" s="30"/>
      <c r="B94" s="28"/>
      <c r="C94" s="28"/>
      <c r="D94" s="29"/>
      <c r="E94" s="29"/>
      <c r="F94" s="30"/>
      <c r="G94" s="28"/>
      <c r="H94" s="31"/>
      <c r="I94" s="32"/>
      <c r="J94" s="33"/>
    </row>
    <row r="95" spans="1:10" ht="15">
      <c r="A95" s="30"/>
      <c r="B95" s="28"/>
      <c r="C95" s="28"/>
      <c r="D95" s="29"/>
      <c r="E95" s="29"/>
      <c r="F95" s="30"/>
      <c r="G95" s="28"/>
      <c r="H95" s="31"/>
      <c r="I95" s="32"/>
      <c r="J95" s="33"/>
    </row>
    <row r="96" spans="1:10" ht="15">
      <c r="A96" s="30"/>
      <c r="B96" s="28"/>
      <c r="C96" s="28"/>
      <c r="D96" s="29"/>
      <c r="E96" s="29"/>
      <c r="F96" s="30"/>
      <c r="G96" s="28"/>
      <c r="H96" s="30"/>
      <c r="I96" s="32"/>
      <c r="J96" s="33"/>
    </row>
    <row r="97" spans="1:10" ht="15">
      <c r="A97" s="30"/>
      <c r="B97" s="28"/>
      <c r="C97" s="28"/>
      <c r="D97" s="29"/>
      <c r="E97" s="29"/>
      <c r="F97" s="30"/>
      <c r="G97" s="28"/>
      <c r="H97" s="30"/>
      <c r="I97" s="32"/>
      <c r="J97" s="33"/>
    </row>
    <row r="98" spans="1:10" ht="15">
      <c r="A98" s="61"/>
      <c r="B98" s="28"/>
      <c r="C98" s="28"/>
      <c r="D98" s="29"/>
      <c r="E98" s="29"/>
      <c r="F98" s="30"/>
      <c r="G98" s="28"/>
      <c r="H98" s="30"/>
      <c r="I98" s="32"/>
      <c r="J98" s="33"/>
    </row>
    <row r="99" spans="1:10" ht="15">
      <c r="A99" s="30"/>
      <c r="B99" s="28"/>
      <c r="C99" s="28"/>
      <c r="D99" s="29"/>
      <c r="E99" s="29"/>
      <c r="F99" s="30"/>
      <c r="G99" s="28"/>
      <c r="H99" s="31"/>
      <c r="I99" s="32"/>
      <c r="J99" s="33"/>
    </row>
    <row r="100" spans="1:10" ht="15">
      <c r="A100" s="30"/>
      <c r="B100" s="28"/>
      <c r="C100" s="28"/>
      <c r="D100" s="29"/>
      <c r="E100" s="29"/>
      <c r="F100" s="30"/>
      <c r="G100" s="28"/>
      <c r="H100" s="31"/>
      <c r="I100" s="32"/>
      <c r="J100" s="33"/>
    </row>
    <row r="101" spans="1:10" ht="15">
      <c r="A101" s="30"/>
      <c r="B101" s="28"/>
      <c r="C101" s="28"/>
      <c r="D101" s="29"/>
      <c r="E101" s="29"/>
      <c r="F101" s="30"/>
      <c r="G101" s="28"/>
      <c r="H101" s="31"/>
      <c r="I101" s="32"/>
      <c r="J101" s="33"/>
    </row>
    <row r="102" spans="1:10" ht="15">
      <c r="A102" s="30"/>
      <c r="B102" s="28"/>
      <c r="C102" s="28"/>
      <c r="D102" s="29"/>
      <c r="E102" s="29"/>
      <c r="F102" s="30"/>
      <c r="G102" s="28"/>
      <c r="H102" s="31"/>
      <c r="I102" s="32"/>
      <c r="J102" s="33"/>
    </row>
    <row r="103" spans="1:10" ht="15">
      <c r="A103" s="30"/>
      <c r="B103" s="28"/>
      <c r="C103" s="28"/>
      <c r="D103" s="29"/>
      <c r="E103" s="29"/>
      <c r="F103" s="30"/>
      <c r="G103" s="28"/>
      <c r="H103" s="31"/>
      <c r="I103" s="32"/>
      <c r="J103" s="33"/>
    </row>
    <row r="104" spans="1:10" ht="15">
      <c r="A104" s="30"/>
      <c r="B104" s="28"/>
      <c r="C104" s="28"/>
      <c r="D104" s="29"/>
      <c r="E104" s="29"/>
      <c r="F104" s="30"/>
      <c r="G104" s="28"/>
      <c r="H104" s="31"/>
      <c r="I104" s="32"/>
      <c r="J104" s="33"/>
    </row>
    <row r="105" spans="1:10" ht="15">
      <c r="A105" s="61"/>
      <c r="B105" s="28"/>
      <c r="C105" s="28"/>
      <c r="D105" s="29"/>
      <c r="E105" s="29"/>
      <c r="F105" s="30"/>
      <c r="G105" s="28"/>
      <c r="H105" s="31"/>
      <c r="I105" s="32"/>
      <c r="J105" s="33"/>
    </row>
    <row r="106" spans="1:10" ht="15">
      <c r="A106" s="30"/>
      <c r="B106" s="28"/>
      <c r="C106" s="28"/>
      <c r="D106" s="29"/>
      <c r="E106" s="29"/>
      <c r="F106" s="30"/>
      <c r="G106" s="28"/>
      <c r="H106" s="31"/>
      <c r="I106" s="32"/>
      <c r="J106" s="33"/>
    </row>
    <row r="107" spans="1:10" ht="15">
      <c r="A107" s="30"/>
      <c r="B107" s="28"/>
      <c r="C107" s="28"/>
      <c r="D107" s="29"/>
      <c r="E107" s="29"/>
      <c r="F107" s="30"/>
      <c r="G107" s="28"/>
      <c r="H107" s="31"/>
      <c r="I107" s="32"/>
      <c r="J107" s="33"/>
    </row>
    <row r="108" spans="1:10" ht="15">
      <c r="A108" s="30"/>
      <c r="B108" s="28"/>
      <c r="C108" s="28"/>
      <c r="D108" s="29"/>
      <c r="E108" s="29"/>
      <c r="F108" s="30"/>
      <c r="G108" s="28"/>
      <c r="H108" s="31"/>
      <c r="I108" s="32"/>
      <c r="J108" s="33"/>
    </row>
    <row r="109" spans="1:10" ht="15">
      <c r="A109" s="30"/>
      <c r="B109" s="28"/>
      <c r="C109" s="28"/>
      <c r="D109" s="29"/>
      <c r="E109" s="29"/>
      <c r="F109" s="30"/>
      <c r="G109" s="28"/>
      <c r="H109" s="31"/>
      <c r="I109" s="32"/>
      <c r="J109" s="33"/>
    </row>
    <row r="110" spans="1:10" ht="15">
      <c r="A110" s="30"/>
      <c r="B110" s="28"/>
      <c r="C110" s="28"/>
      <c r="D110" s="29"/>
      <c r="E110" s="29"/>
      <c r="F110" s="30"/>
      <c r="G110" s="28"/>
      <c r="H110" s="30"/>
      <c r="I110" s="32"/>
      <c r="J110" s="33"/>
    </row>
    <row r="111" spans="1:10" ht="15">
      <c r="A111" s="29"/>
      <c r="B111" s="28"/>
      <c r="C111" s="28"/>
      <c r="D111" s="29"/>
      <c r="E111" s="29"/>
      <c r="F111" s="30"/>
      <c r="G111" s="28"/>
      <c r="H111" s="30"/>
      <c r="I111" s="32"/>
      <c r="J111" s="33"/>
    </row>
    <row r="112" spans="1:9" ht="15" customHeight="1">
      <c r="A112" s="30"/>
      <c r="B112" s="28"/>
      <c r="C112" s="28"/>
      <c r="D112" s="29"/>
      <c r="E112" s="29"/>
      <c r="F112" s="30"/>
      <c r="G112" s="28"/>
      <c r="H112" s="30"/>
      <c r="I112" s="32"/>
    </row>
    <row r="113" spans="1:9" ht="15">
      <c r="A113" s="61"/>
      <c r="B113" s="28"/>
      <c r="C113" s="28"/>
      <c r="D113" s="29"/>
      <c r="E113" s="29"/>
      <c r="F113" s="30"/>
      <c r="G113" s="28"/>
      <c r="H113" s="30"/>
      <c r="I113" s="32"/>
    </row>
    <row r="114" spans="1:9" ht="15">
      <c r="A114" s="30"/>
      <c r="B114" s="28"/>
      <c r="C114" s="28"/>
      <c r="D114" s="29"/>
      <c r="E114" s="29"/>
      <c r="F114" s="30"/>
      <c r="G114" s="28"/>
      <c r="H114" s="30"/>
      <c r="I114" s="32"/>
    </row>
    <row r="115" spans="1:9" ht="15">
      <c r="A115" s="30"/>
      <c r="B115" s="28"/>
      <c r="C115" s="28"/>
      <c r="D115" s="29"/>
      <c r="E115" s="29"/>
      <c r="F115" s="30"/>
      <c r="G115" s="28"/>
      <c r="H115" s="30"/>
      <c r="I115" s="32"/>
    </row>
    <row r="116" spans="1:9" ht="15">
      <c r="A116" s="30"/>
      <c r="B116" s="28"/>
      <c r="C116" s="28"/>
      <c r="D116" s="29"/>
      <c r="E116" s="29"/>
      <c r="F116" s="30"/>
      <c r="G116" s="28"/>
      <c r="H116" s="30"/>
      <c r="I116" s="32"/>
    </row>
    <row r="117" spans="1:9" ht="15">
      <c r="A117" s="30"/>
      <c r="B117" s="28"/>
      <c r="C117" s="28"/>
      <c r="D117" s="29"/>
      <c r="E117" s="29"/>
      <c r="F117" s="30"/>
      <c r="G117" s="28"/>
      <c r="H117" s="30"/>
      <c r="I117" s="32"/>
    </row>
    <row r="118" spans="1:9" ht="15">
      <c r="A118" s="30"/>
      <c r="B118" s="28"/>
      <c r="C118" s="28"/>
      <c r="D118" s="29"/>
      <c r="E118" s="29"/>
      <c r="F118" s="30"/>
      <c r="G118" s="28"/>
      <c r="H118" s="30"/>
      <c r="I118" s="32"/>
    </row>
    <row r="119" spans="1:9" ht="15">
      <c r="A119" s="30"/>
      <c r="B119" s="28"/>
      <c r="C119" s="28"/>
      <c r="D119" s="29"/>
      <c r="E119" s="29"/>
      <c r="F119" s="30"/>
      <c r="G119" s="28"/>
      <c r="H119" s="30"/>
      <c r="I119" s="32"/>
    </row>
    <row r="120" spans="1:9" ht="15">
      <c r="A120" s="30"/>
      <c r="B120" s="28"/>
      <c r="C120" s="28"/>
      <c r="D120" s="29"/>
      <c r="E120" s="29"/>
      <c r="F120" s="30"/>
      <c r="G120" s="28"/>
      <c r="H120" s="30"/>
      <c r="I120" s="32"/>
    </row>
  </sheetData>
  <printOptions/>
  <pageMargins left="0.43" right="0.42" top="0.38" bottom="0.5" header="0.37" footer="0.32"/>
  <pageSetup fitToHeight="0" fitToWidth="1" horizontalDpi="600" verticalDpi="600" orientation="landscape" scale="85" r:id="rId1"/>
  <headerFooter alignWithMargins="0">
    <oddFooter>&amp;C&amp;T   &amp;D</oddFooter>
  </headerFooter>
  <rowBreaks count="2" manualBreakCount="2">
    <brk id="31" max="255" man="1"/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21"/>
  <sheetViews>
    <sheetView workbookViewId="0" topLeftCell="A1">
      <selection activeCell="B3" sqref="B3"/>
    </sheetView>
  </sheetViews>
  <sheetFormatPr defaultColWidth="9.140625" defaultRowHeight="12.75"/>
  <cols>
    <col min="1" max="1" width="7.140625" style="0" customWidth="1"/>
    <col min="2" max="2" width="20.7109375" style="0" customWidth="1"/>
    <col min="3" max="3" width="12.140625" style="2" customWidth="1"/>
    <col min="4" max="4" width="15.00390625" style="56" customWidth="1"/>
    <col min="5" max="5" width="7.421875" style="56" customWidth="1"/>
    <col min="6" max="6" width="31.28125" style="0" customWidth="1"/>
    <col min="7" max="7" width="11.00390625" style="0" customWidth="1"/>
    <col min="8" max="8" width="11.7109375" style="0" customWidth="1"/>
    <col min="9" max="9" width="9.140625" style="56" customWidth="1"/>
    <col min="10" max="10" width="11.00390625" style="0" customWidth="1"/>
  </cols>
  <sheetData>
    <row r="1" spans="1:9" s="278" customFormat="1" ht="18">
      <c r="A1" s="286" t="s">
        <v>358</v>
      </c>
      <c r="B1" s="286"/>
      <c r="C1" s="287"/>
      <c r="D1" s="286"/>
      <c r="E1" s="286"/>
      <c r="F1" s="286"/>
      <c r="I1" s="288"/>
    </row>
    <row r="2" spans="1:9" s="10" customFormat="1" ht="12.75">
      <c r="A2" s="289" t="s">
        <v>555</v>
      </c>
      <c r="B2" s="289"/>
      <c r="C2" s="290"/>
      <c r="D2" s="289"/>
      <c r="E2" s="289"/>
      <c r="F2" s="289"/>
      <c r="I2" s="140"/>
    </row>
    <row r="3" spans="1:6" ht="15">
      <c r="A3" s="64"/>
      <c r="B3" s="74"/>
      <c r="C3" s="63"/>
      <c r="E3" s="74"/>
      <c r="F3" s="74"/>
    </row>
    <row r="4" spans="1:6" ht="13.5" thickBot="1">
      <c r="A4" s="74"/>
      <c r="B4" s="74"/>
      <c r="C4" s="75"/>
      <c r="F4" s="74"/>
    </row>
    <row r="5" spans="2:10" s="177" customFormat="1" ht="13.5" thickTop="1">
      <c r="B5" s="182"/>
      <c r="C5" s="183" t="s">
        <v>411</v>
      </c>
      <c r="D5" s="184"/>
      <c r="E5" s="184"/>
      <c r="F5" s="185"/>
      <c r="G5" s="186" t="s">
        <v>451</v>
      </c>
      <c r="H5" s="186" t="s">
        <v>412</v>
      </c>
      <c r="I5" s="184"/>
      <c r="J5" s="187" t="s">
        <v>506</v>
      </c>
    </row>
    <row r="6" spans="2:10" s="177" customFormat="1" ht="13.5" thickBot="1">
      <c r="B6" s="188" t="s">
        <v>16</v>
      </c>
      <c r="C6" s="189" t="s">
        <v>106</v>
      </c>
      <c r="D6" s="168" t="s">
        <v>63</v>
      </c>
      <c r="E6" s="168" t="s">
        <v>107</v>
      </c>
      <c r="F6" s="168" t="s">
        <v>100</v>
      </c>
      <c r="G6" s="168" t="s">
        <v>450</v>
      </c>
      <c r="H6" s="168" t="s">
        <v>413</v>
      </c>
      <c r="I6" s="168" t="s">
        <v>428</v>
      </c>
      <c r="J6" s="172" t="s">
        <v>2</v>
      </c>
    </row>
    <row r="7" spans="2:10" s="177" customFormat="1" ht="13.5" thickTop="1">
      <c r="B7" s="190"/>
      <c r="C7" s="191"/>
      <c r="D7" s="192"/>
      <c r="E7" s="192"/>
      <c r="F7" s="193"/>
      <c r="G7" s="193"/>
      <c r="H7" s="185"/>
      <c r="I7" s="184"/>
      <c r="J7" s="185"/>
    </row>
    <row r="8" spans="1:10" s="177" customFormat="1" ht="12.75">
      <c r="A8" s="173" t="s">
        <v>55</v>
      </c>
      <c r="B8" s="151" t="s">
        <v>366</v>
      </c>
      <c r="C8" s="152">
        <f>'Ag'!C10</f>
        <v>43948</v>
      </c>
      <c r="D8" s="153" t="s">
        <v>13</v>
      </c>
      <c r="E8" s="153"/>
      <c r="F8" s="151" t="s">
        <v>368</v>
      </c>
      <c r="G8" s="158">
        <f aca="true" t="shared" si="0" ref="G8:G17">G7+C8</f>
        <v>43948</v>
      </c>
      <c r="H8" s="178"/>
      <c r="I8" s="179">
        <v>1</v>
      </c>
      <c r="J8" s="180">
        <f>I8*C8</f>
        <v>43948</v>
      </c>
    </row>
    <row r="9" spans="1:10" s="177" customFormat="1" ht="12.75">
      <c r="A9" s="173"/>
      <c r="B9" s="151" t="s">
        <v>366</v>
      </c>
      <c r="C9" s="152">
        <f>'Ag'!C11</f>
        <v>41822</v>
      </c>
      <c r="D9" s="153" t="s">
        <v>367</v>
      </c>
      <c r="E9" s="153"/>
      <c r="F9" s="151" t="s">
        <v>369</v>
      </c>
      <c r="G9" s="158">
        <f t="shared" si="0"/>
        <v>85770</v>
      </c>
      <c r="H9" s="174"/>
      <c r="I9" s="175">
        <v>1</v>
      </c>
      <c r="J9" s="176">
        <f aca="true" t="shared" si="1" ref="J9:J17">I9*C9</f>
        <v>41822</v>
      </c>
    </row>
    <row r="10" spans="1:10" s="177" customFormat="1" ht="12.75">
      <c r="A10" s="173"/>
      <c r="B10" s="151" t="s">
        <v>366</v>
      </c>
      <c r="C10" s="152">
        <f>'Ag'!C12</f>
        <v>42420</v>
      </c>
      <c r="D10" s="153" t="s">
        <v>370</v>
      </c>
      <c r="E10" s="153"/>
      <c r="F10" s="151" t="s">
        <v>371</v>
      </c>
      <c r="G10" s="158">
        <f t="shared" si="0"/>
        <v>128190</v>
      </c>
      <c r="H10" s="174"/>
      <c r="I10" s="175">
        <v>1</v>
      </c>
      <c r="J10" s="176">
        <f t="shared" si="1"/>
        <v>42420</v>
      </c>
    </row>
    <row r="11" spans="1:10" s="177" customFormat="1" ht="12.75">
      <c r="A11" s="173"/>
      <c r="B11" s="151" t="s">
        <v>30</v>
      </c>
      <c r="C11" s="152">
        <f>'Ag'!C24</f>
        <v>35600</v>
      </c>
      <c r="D11" s="153" t="s">
        <v>432</v>
      </c>
      <c r="E11" s="153"/>
      <c r="F11" s="151" t="s">
        <v>167</v>
      </c>
      <c r="G11" s="158">
        <f t="shared" si="0"/>
        <v>163790</v>
      </c>
      <c r="H11" s="174"/>
      <c r="I11" s="175">
        <v>1</v>
      </c>
      <c r="J11" s="176">
        <f t="shared" si="1"/>
        <v>35600</v>
      </c>
    </row>
    <row r="12" spans="1:10" s="177" customFormat="1" ht="12.75">
      <c r="A12" s="173"/>
      <c r="B12" s="151" t="s">
        <v>372</v>
      </c>
      <c r="C12" s="152">
        <f>'Ag'!C13</f>
        <v>31154</v>
      </c>
      <c r="D12" s="153" t="s">
        <v>373</v>
      </c>
      <c r="E12" s="153"/>
      <c r="F12" s="151" t="s">
        <v>374</v>
      </c>
      <c r="G12" s="158">
        <f t="shared" si="0"/>
        <v>194944</v>
      </c>
      <c r="H12" s="174"/>
      <c r="I12" s="175">
        <v>1</v>
      </c>
      <c r="J12" s="176">
        <f t="shared" si="1"/>
        <v>31154</v>
      </c>
    </row>
    <row r="13" spans="1:10" s="177" customFormat="1" ht="12.75">
      <c r="A13" s="173"/>
      <c r="B13" s="154" t="s">
        <v>372</v>
      </c>
      <c r="C13" s="155">
        <f>60500*0.89</f>
        <v>53845</v>
      </c>
      <c r="D13" s="156" t="s">
        <v>123</v>
      </c>
      <c r="E13" s="156">
        <v>1</v>
      </c>
      <c r="F13" s="154" t="s">
        <v>390</v>
      </c>
      <c r="G13" s="167">
        <f t="shared" si="0"/>
        <v>248789</v>
      </c>
      <c r="H13" s="174"/>
      <c r="I13" s="175">
        <v>1</v>
      </c>
      <c r="J13" s="176">
        <f t="shared" si="1"/>
        <v>53845</v>
      </c>
    </row>
    <row r="14" spans="1:10" s="177" customFormat="1" ht="12.75">
      <c r="A14" s="173"/>
      <c r="B14" s="154" t="s">
        <v>372</v>
      </c>
      <c r="C14" s="155">
        <f>50000*0.89</f>
        <v>44500</v>
      </c>
      <c r="D14" s="156" t="s">
        <v>13</v>
      </c>
      <c r="E14" s="156">
        <v>2</v>
      </c>
      <c r="F14" s="154" t="s">
        <v>391</v>
      </c>
      <c r="G14" s="167">
        <f t="shared" si="0"/>
        <v>293289</v>
      </c>
      <c r="H14" s="174"/>
      <c r="I14" s="175">
        <v>1</v>
      </c>
      <c r="J14" s="176">
        <f t="shared" si="1"/>
        <v>44500</v>
      </c>
    </row>
    <row r="15" spans="1:10" s="177" customFormat="1" ht="12.75">
      <c r="A15" s="173"/>
      <c r="B15" s="154" t="s">
        <v>30</v>
      </c>
      <c r="C15" s="155">
        <f>0.89*62000</f>
        <v>55180</v>
      </c>
      <c r="D15" s="156" t="s">
        <v>13</v>
      </c>
      <c r="E15" s="156">
        <v>3</v>
      </c>
      <c r="F15" s="154" t="s">
        <v>394</v>
      </c>
      <c r="G15" s="167">
        <f t="shared" si="0"/>
        <v>348469</v>
      </c>
      <c r="H15" s="174"/>
      <c r="I15" s="175">
        <v>1</v>
      </c>
      <c r="J15" s="176">
        <f t="shared" si="1"/>
        <v>55180</v>
      </c>
    </row>
    <row r="16" spans="1:10" s="177" customFormat="1" ht="12.75">
      <c r="A16" s="173"/>
      <c r="B16" s="148" t="s">
        <v>437</v>
      </c>
      <c r="C16" s="149">
        <f>0.89*57147</f>
        <v>50860.83</v>
      </c>
      <c r="D16" s="150" t="s">
        <v>13</v>
      </c>
      <c r="E16" s="150">
        <v>4</v>
      </c>
      <c r="F16" s="148" t="s">
        <v>392</v>
      </c>
      <c r="G16" s="166">
        <f t="shared" si="0"/>
        <v>399329.83</v>
      </c>
      <c r="H16" s="220"/>
      <c r="I16" s="221">
        <v>0</v>
      </c>
      <c r="J16" s="222">
        <f t="shared" si="1"/>
        <v>0</v>
      </c>
    </row>
    <row r="17" spans="1:10" s="177" customFormat="1" ht="12.75">
      <c r="A17" s="173"/>
      <c r="B17" s="148" t="s">
        <v>438</v>
      </c>
      <c r="C17" s="149">
        <f>0.89*63446</f>
        <v>56466.94</v>
      </c>
      <c r="D17" s="150" t="s">
        <v>13</v>
      </c>
      <c r="E17" s="150">
        <v>5</v>
      </c>
      <c r="F17" s="148" t="s">
        <v>393</v>
      </c>
      <c r="G17" s="166">
        <f t="shared" si="0"/>
        <v>455796.77</v>
      </c>
      <c r="H17" s="220"/>
      <c r="I17" s="221">
        <v>0</v>
      </c>
      <c r="J17" s="222">
        <f t="shared" si="1"/>
        <v>0</v>
      </c>
    </row>
    <row r="18" spans="2:10" s="177" customFormat="1" ht="12.75">
      <c r="B18" s="194" t="s">
        <v>109</v>
      </c>
      <c r="C18" s="195">
        <f>SUM(C7:C17)</f>
        <v>455796.77</v>
      </c>
      <c r="D18" s="156"/>
      <c r="E18" s="196">
        <f>'Captured Pool'!C15</f>
        <v>7</v>
      </c>
      <c r="F18" s="194" t="s">
        <v>431</v>
      </c>
      <c r="G18" s="159"/>
      <c r="H18" s="197">
        <f>'Captured Pool'!J15</f>
        <v>357544.07999999996</v>
      </c>
      <c r="I18" s="196">
        <f>SUBTOTAL(9,I8:I17)-1</f>
        <v>7</v>
      </c>
      <c r="J18" s="198">
        <f>SUM(SUBTOTAL(9,J8:J17))</f>
        <v>348469</v>
      </c>
    </row>
    <row r="19" spans="2:10" s="177" customFormat="1" ht="12.75">
      <c r="B19" s="199"/>
      <c r="C19" s="200"/>
      <c r="D19" s="201"/>
      <c r="E19" s="201"/>
      <c r="G19" s="202"/>
      <c r="H19" s="203"/>
      <c r="I19" s="204"/>
      <c r="J19" s="202"/>
    </row>
    <row r="20" spans="1:10" s="177" customFormat="1" ht="12.75">
      <c r="A20" s="173" t="s">
        <v>5</v>
      </c>
      <c r="B20" s="151" t="s">
        <v>272</v>
      </c>
      <c r="C20" s="152">
        <f>'A&amp;S'!C37</f>
        <v>-58008</v>
      </c>
      <c r="D20" s="153" t="s">
        <v>432</v>
      </c>
      <c r="E20" s="153"/>
      <c r="F20" s="151" t="s">
        <v>425</v>
      </c>
      <c r="G20" s="277">
        <f>G19+C20</f>
        <v>-58008</v>
      </c>
      <c r="H20" s="178"/>
      <c r="I20" s="179">
        <v>1</v>
      </c>
      <c r="J20" s="180">
        <f>I20*C20</f>
        <v>-58008</v>
      </c>
    </row>
    <row r="21" spans="1:10" s="177" customFormat="1" ht="12.75">
      <c r="A21" s="173"/>
      <c r="B21" s="151" t="s">
        <v>207</v>
      </c>
      <c r="C21" s="152">
        <f>'A&amp;S'!C9</f>
        <v>65004</v>
      </c>
      <c r="D21" s="153" t="s">
        <v>290</v>
      </c>
      <c r="E21" s="153"/>
      <c r="F21" s="151" t="s">
        <v>375</v>
      </c>
      <c r="G21" s="158">
        <f aca="true" t="shared" si="2" ref="G21:G41">G20+C21</f>
        <v>6996</v>
      </c>
      <c r="H21" s="174"/>
      <c r="I21" s="175">
        <v>1</v>
      </c>
      <c r="J21" s="176">
        <f aca="true" t="shared" si="3" ref="J21:J41">I21*C21</f>
        <v>65004</v>
      </c>
    </row>
    <row r="22" spans="1:10" s="177" customFormat="1" ht="12.75">
      <c r="A22" s="173"/>
      <c r="B22" s="151" t="s">
        <v>181</v>
      </c>
      <c r="C22" s="152">
        <f>'A&amp;S'!C10</f>
        <v>15660</v>
      </c>
      <c r="D22" s="153" t="s">
        <v>290</v>
      </c>
      <c r="E22" s="153"/>
      <c r="F22" s="151" t="s">
        <v>376</v>
      </c>
      <c r="G22" s="158">
        <f t="shared" si="2"/>
        <v>22656</v>
      </c>
      <c r="H22" s="174"/>
      <c r="I22" s="175">
        <v>1</v>
      </c>
      <c r="J22" s="176">
        <f t="shared" si="3"/>
        <v>15660</v>
      </c>
    </row>
    <row r="23" spans="1:10" s="177" customFormat="1" ht="12.75">
      <c r="A23" s="173"/>
      <c r="B23" s="151" t="s">
        <v>238</v>
      </c>
      <c r="C23" s="152">
        <f>'A&amp;S'!C11</f>
        <v>55008</v>
      </c>
      <c r="D23" s="153" t="s">
        <v>175</v>
      </c>
      <c r="E23" s="153"/>
      <c r="F23" s="151" t="s">
        <v>377</v>
      </c>
      <c r="G23" s="167">
        <f t="shared" si="2"/>
        <v>77664</v>
      </c>
      <c r="H23" s="174"/>
      <c r="I23" s="175">
        <v>1</v>
      </c>
      <c r="J23" s="176">
        <f t="shared" si="3"/>
        <v>55008</v>
      </c>
    </row>
    <row r="24" spans="1:10" s="177" customFormat="1" ht="12.75">
      <c r="A24" s="173"/>
      <c r="B24" s="151" t="s">
        <v>288</v>
      </c>
      <c r="C24" s="152">
        <v>45684</v>
      </c>
      <c r="D24" s="153" t="s">
        <v>123</v>
      </c>
      <c r="E24" s="153"/>
      <c r="F24" s="151" t="s">
        <v>466</v>
      </c>
      <c r="G24" s="167">
        <f t="shared" si="2"/>
        <v>123348</v>
      </c>
      <c r="H24" s="174"/>
      <c r="I24" s="175">
        <v>1</v>
      </c>
      <c r="J24" s="176">
        <f t="shared" si="3"/>
        <v>45684</v>
      </c>
    </row>
    <row r="25" spans="1:10" s="177" customFormat="1" ht="12.75">
      <c r="A25" s="173"/>
      <c r="B25" s="154" t="s">
        <v>282</v>
      </c>
      <c r="C25" s="155">
        <v>48384</v>
      </c>
      <c r="D25" s="156" t="s">
        <v>465</v>
      </c>
      <c r="E25" s="156">
        <v>1</v>
      </c>
      <c r="F25" s="154" t="s">
        <v>306</v>
      </c>
      <c r="G25" s="167">
        <f t="shared" si="2"/>
        <v>171732</v>
      </c>
      <c r="H25" s="174"/>
      <c r="I25" s="175">
        <v>1</v>
      </c>
      <c r="J25" s="176">
        <f t="shared" si="3"/>
        <v>48384</v>
      </c>
    </row>
    <row r="26" spans="1:10" s="177" customFormat="1" ht="12.75">
      <c r="A26" s="173"/>
      <c r="B26" s="154" t="s">
        <v>283</v>
      </c>
      <c r="C26" s="155">
        <v>45204</v>
      </c>
      <c r="D26" s="156" t="s">
        <v>13</v>
      </c>
      <c r="E26" s="156">
        <v>2</v>
      </c>
      <c r="F26" s="154" t="s">
        <v>307</v>
      </c>
      <c r="G26" s="167">
        <f t="shared" si="2"/>
        <v>216936</v>
      </c>
      <c r="H26" s="174"/>
      <c r="I26" s="175">
        <v>1</v>
      </c>
      <c r="J26" s="176">
        <f t="shared" si="3"/>
        <v>45204</v>
      </c>
    </row>
    <row r="27" spans="1:10" s="177" customFormat="1" ht="12.75">
      <c r="A27" s="173"/>
      <c r="B27" s="154" t="s">
        <v>284</v>
      </c>
      <c r="C27" s="155">
        <v>49800</v>
      </c>
      <c r="D27" s="156" t="s">
        <v>13</v>
      </c>
      <c r="E27" s="156">
        <v>3</v>
      </c>
      <c r="F27" s="154" t="s">
        <v>308</v>
      </c>
      <c r="G27" s="167">
        <f t="shared" si="2"/>
        <v>266736</v>
      </c>
      <c r="H27" s="174"/>
      <c r="I27" s="175">
        <v>1</v>
      </c>
      <c r="J27" s="176">
        <f t="shared" si="3"/>
        <v>49800</v>
      </c>
    </row>
    <row r="28" spans="1:10" s="177" customFormat="1" ht="12.75">
      <c r="A28" s="173"/>
      <c r="B28" s="154" t="s">
        <v>181</v>
      </c>
      <c r="C28" s="155">
        <v>52668</v>
      </c>
      <c r="D28" s="156" t="s">
        <v>13</v>
      </c>
      <c r="E28" s="156">
        <v>4</v>
      </c>
      <c r="F28" s="154" t="s">
        <v>309</v>
      </c>
      <c r="G28" s="167">
        <f t="shared" si="2"/>
        <v>319404</v>
      </c>
      <c r="H28" s="174"/>
      <c r="I28" s="175">
        <v>1</v>
      </c>
      <c r="J28" s="176">
        <f t="shared" si="3"/>
        <v>52668</v>
      </c>
    </row>
    <row r="29" spans="1:10" s="177" customFormat="1" ht="12.75">
      <c r="A29" s="173"/>
      <c r="B29" s="154" t="s">
        <v>285</v>
      </c>
      <c r="C29" s="155">
        <f>50400</f>
        <v>50400</v>
      </c>
      <c r="D29" s="156" t="s">
        <v>13</v>
      </c>
      <c r="E29" s="156">
        <v>5</v>
      </c>
      <c r="F29" s="154" t="s">
        <v>487</v>
      </c>
      <c r="G29" s="167">
        <f t="shared" si="2"/>
        <v>369804</v>
      </c>
      <c r="H29" s="174"/>
      <c r="I29" s="175">
        <v>1</v>
      </c>
      <c r="J29" s="176">
        <f t="shared" si="3"/>
        <v>50400</v>
      </c>
    </row>
    <row r="30" spans="1:10" s="177" customFormat="1" ht="12.75">
      <c r="A30" s="173"/>
      <c r="B30" s="154" t="s">
        <v>211</v>
      </c>
      <c r="C30" s="155">
        <v>44676</v>
      </c>
      <c r="D30" s="156" t="s">
        <v>13</v>
      </c>
      <c r="E30" s="156">
        <v>6</v>
      </c>
      <c r="F30" s="154" t="s">
        <v>286</v>
      </c>
      <c r="G30" s="167">
        <f t="shared" si="2"/>
        <v>414480</v>
      </c>
      <c r="H30" s="174"/>
      <c r="I30" s="175">
        <v>1</v>
      </c>
      <c r="J30" s="176">
        <f t="shared" si="3"/>
        <v>44676</v>
      </c>
    </row>
    <row r="31" spans="1:10" s="177" customFormat="1" ht="12.75">
      <c r="A31" s="173"/>
      <c r="B31" s="154" t="s">
        <v>442</v>
      </c>
      <c r="C31" s="155">
        <v>51060</v>
      </c>
      <c r="D31" s="156" t="s">
        <v>13</v>
      </c>
      <c r="E31" s="156">
        <v>7</v>
      </c>
      <c r="F31" s="154" t="s">
        <v>310</v>
      </c>
      <c r="G31" s="167">
        <f t="shared" si="2"/>
        <v>465540</v>
      </c>
      <c r="H31" s="174"/>
      <c r="I31" s="175">
        <v>1</v>
      </c>
      <c r="J31" s="176">
        <f t="shared" si="3"/>
        <v>51060</v>
      </c>
    </row>
    <row r="32" spans="1:10" s="177" customFormat="1" ht="12.75">
      <c r="A32" s="173"/>
      <c r="B32" s="154" t="s">
        <v>287</v>
      </c>
      <c r="C32" s="155">
        <v>42847</v>
      </c>
      <c r="D32" s="156" t="s">
        <v>13</v>
      </c>
      <c r="E32" s="156">
        <v>8</v>
      </c>
      <c r="F32" s="154" t="s">
        <v>311</v>
      </c>
      <c r="G32" s="167">
        <f t="shared" si="2"/>
        <v>508387</v>
      </c>
      <c r="H32" s="174"/>
      <c r="I32" s="175">
        <v>1</v>
      </c>
      <c r="J32" s="176">
        <f t="shared" si="3"/>
        <v>42847</v>
      </c>
    </row>
    <row r="33" spans="1:10" s="177" customFormat="1" ht="12.75">
      <c r="A33" s="173"/>
      <c r="B33" s="154" t="s">
        <v>231</v>
      </c>
      <c r="C33" s="155">
        <v>50000</v>
      </c>
      <c r="D33" s="156" t="s">
        <v>13</v>
      </c>
      <c r="E33" s="156">
        <v>9</v>
      </c>
      <c r="F33" s="154"/>
      <c r="G33" s="167">
        <f t="shared" si="2"/>
        <v>558387</v>
      </c>
      <c r="H33" s="174"/>
      <c r="I33" s="175">
        <v>1</v>
      </c>
      <c r="J33" s="176">
        <f t="shared" si="3"/>
        <v>50000</v>
      </c>
    </row>
    <row r="34" spans="1:10" s="177" customFormat="1" ht="12.75">
      <c r="A34" s="173"/>
      <c r="B34" s="154" t="s">
        <v>288</v>
      </c>
      <c r="C34" s="155">
        <v>42491</v>
      </c>
      <c r="D34" s="156" t="s">
        <v>13</v>
      </c>
      <c r="E34" s="156">
        <v>10</v>
      </c>
      <c r="F34" s="154" t="s">
        <v>312</v>
      </c>
      <c r="G34" s="167">
        <f t="shared" si="2"/>
        <v>600878</v>
      </c>
      <c r="H34" s="174"/>
      <c r="I34" s="175">
        <v>1</v>
      </c>
      <c r="J34" s="176">
        <f t="shared" si="3"/>
        <v>42491</v>
      </c>
    </row>
    <row r="35" spans="1:10" s="177" customFormat="1" ht="12.75">
      <c r="A35" s="173"/>
      <c r="B35" s="154" t="s">
        <v>289</v>
      </c>
      <c r="C35" s="155">
        <v>46500</v>
      </c>
      <c r="D35" s="156" t="s">
        <v>13</v>
      </c>
      <c r="E35" s="156">
        <v>11</v>
      </c>
      <c r="F35" s="154" t="s">
        <v>313</v>
      </c>
      <c r="G35" s="167">
        <f t="shared" si="2"/>
        <v>647378</v>
      </c>
      <c r="H35" s="174"/>
      <c r="I35" s="175">
        <v>1</v>
      </c>
      <c r="J35" s="176">
        <f t="shared" si="3"/>
        <v>46500</v>
      </c>
    </row>
    <row r="36" spans="1:10" s="177" customFormat="1" ht="12.75">
      <c r="A36" s="173"/>
      <c r="B36" s="148" t="s">
        <v>279</v>
      </c>
      <c r="C36" s="149">
        <v>47000</v>
      </c>
      <c r="D36" s="150" t="s">
        <v>274</v>
      </c>
      <c r="E36" s="150">
        <v>12</v>
      </c>
      <c r="F36" s="148" t="s">
        <v>314</v>
      </c>
      <c r="G36" s="166">
        <f t="shared" si="2"/>
        <v>694378</v>
      </c>
      <c r="H36" s="220"/>
      <c r="I36" s="221">
        <v>0</v>
      </c>
      <c r="J36" s="222">
        <f t="shared" si="3"/>
        <v>0</v>
      </c>
    </row>
    <row r="37" spans="1:10" s="177" customFormat="1" ht="12.75">
      <c r="A37" s="173"/>
      <c r="B37" s="148" t="s">
        <v>440</v>
      </c>
      <c r="C37" s="149">
        <v>55000</v>
      </c>
      <c r="D37" s="150" t="s">
        <v>315</v>
      </c>
      <c r="E37" s="150">
        <v>13</v>
      </c>
      <c r="F37" s="148" t="s">
        <v>317</v>
      </c>
      <c r="G37" s="166">
        <f t="shared" si="2"/>
        <v>749378</v>
      </c>
      <c r="H37" s="220"/>
      <c r="I37" s="221">
        <v>0</v>
      </c>
      <c r="J37" s="222">
        <f t="shared" si="3"/>
        <v>0</v>
      </c>
    </row>
    <row r="38" spans="1:10" s="177" customFormat="1" ht="12.75">
      <c r="A38" s="173"/>
      <c r="B38" s="148" t="s">
        <v>439</v>
      </c>
      <c r="C38" s="149">
        <v>47424</v>
      </c>
      <c r="D38" s="150" t="s">
        <v>13</v>
      </c>
      <c r="E38" s="150">
        <v>14</v>
      </c>
      <c r="F38" s="148" t="s">
        <v>316</v>
      </c>
      <c r="G38" s="166">
        <f t="shared" si="2"/>
        <v>796802</v>
      </c>
      <c r="H38" s="220"/>
      <c r="I38" s="221">
        <v>0</v>
      </c>
      <c r="J38" s="222">
        <f t="shared" si="3"/>
        <v>0</v>
      </c>
    </row>
    <row r="39" spans="1:10" s="177" customFormat="1" ht="12.75">
      <c r="A39" s="173"/>
      <c r="B39" s="148" t="s">
        <v>441</v>
      </c>
      <c r="C39" s="149">
        <f>50000-12500</f>
        <v>37500</v>
      </c>
      <c r="D39" s="150" t="s">
        <v>13</v>
      </c>
      <c r="E39" s="150">
        <v>15</v>
      </c>
      <c r="F39" s="148" t="s">
        <v>319</v>
      </c>
      <c r="G39" s="166">
        <f t="shared" si="2"/>
        <v>834302</v>
      </c>
      <c r="H39" s="220"/>
      <c r="I39" s="221">
        <v>0</v>
      </c>
      <c r="J39" s="222">
        <f t="shared" si="3"/>
        <v>0</v>
      </c>
    </row>
    <row r="40" spans="1:10" s="177" customFormat="1" ht="12.75">
      <c r="A40" s="173"/>
      <c r="B40" s="148" t="s">
        <v>272</v>
      </c>
      <c r="C40" s="149">
        <v>31173</v>
      </c>
      <c r="D40" s="150" t="s">
        <v>274</v>
      </c>
      <c r="E40" s="150">
        <v>16</v>
      </c>
      <c r="F40" s="148" t="s">
        <v>318</v>
      </c>
      <c r="G40" s="166">
        <f t="shared" si="2"/>
        <v>865475</v>
      </c>
      <c r="H40" s="220"/>
      <c r="I40" s="221">
        <v>0</v>
      </c>
      <c r="J40" s="222">
        <f t="shared" si="3"/>
        <v>0</v>
      </c>
    </row>
    <row r="41" spans="1:10" s="177" customFormat="1" ht="12.75">
      <c r="A41" s="173"/>
      <c r="B41" s="148" t="s">
        <v>211</v>
      </c>
      <c r="C41" s="149">
        <v>32000</v>
      </c>
      <c r="D41" s="150" t="s">
        <v>274</v>
      </c>
      <c r="E41" s="150">
        <v>17</v>
      </c>
      <c r="F41" s="148" t="s">
        <v>320</v>
      </c>
      <c r="G41" s="166">
        <f t="shared" si="2"/>
        <v>897475</v>
      </c>
      <c r="H41" s="220"/>
      <c r="I41" s="221">
        <v>0</v>
      </c>
      <c r="J41" s="222">
        <f t="shared" si="3"/>
        <v>0</v>
      </c>
    </row>
    <row r="42" spans="2:10" s="177" customFormat="1" ht="12.75">
      <c r="B42" s="194" t="s">
        <v>110</v>
      </c>
      <c r="C42" s="195">
        <f>SUM(C20:C41)</f>
        <v>897475</v>
      </c>
      <c r="D42" s="156"/>
      <c r="E42" s="196">
        <f>'Captured Pool'!C30</f>
        <v>13</v>
      </c>
      <c r="F42" s="194" t="s">
        <v>431</v>
      </c>
      <c r="G42" s="171"/>
      <c r="H42" s="197">
        <f>'Captured Pool'!J30</f>
        <v>714766</v>
      </c>
      <c r="I42" s="196">
        <f>SUBTOTAL(9,I20:I41)-2</f>
        <v>14</v>
      </c>
      <c r="J42" s="198">
        <f>SUM(SUBTOTAL(9,J20:J41))</f>
        <v>647378</v>
      </c>
    </row>
    <row r="43" spans="3:10" s="177" customFormat="1" ht="12.75">
      <c r="C43" s="200"/>
      <c r="D43" s="201"/>
      <c r="E43" s="201"/>
      <c r="H43" s="205"/>
      <c r="I43" s="170"/>
      <c r="J43" s="169"/>
    </row>
    <row r="44" spans="1:10" s="177" customFormat="1" ht="12.75">
      <c r="A44" s="173" t="s">
        <v>433</v>
      </c>
      <c r="B44" s="151" t="s">
        <v>25</v>
      </c>
      <c r="C44" s="152">
        <f>COB!C9</f>
        <v>40000</v>
      </c>
      <c r="D44" s="153" t="s">
        <v>432</v>
      </c>
      <c r="E44" s="153"/>
      <c r="F44" s="151" t="s">
        <v>359</v>
      </c>
      <c r="G44" s="158">
        <f aca="true" t="shared" si="4" ref="G44:G49">G43+C44</f>
        <v>40000</v>
      </c>
      <c r="H44" s="178"/>
      <c r="I44" s="179">
        <v>1</v>
      </c>
      <c r="J44" s="180">
        <f aca="true" t="shared" si="5" ref="J44:J49">I44*C44</f>
        <v>40000</v>
      </c>
    </row>
    <row r="45" spans="1:10" s="177" customFormat="1" ht="12.75">
      <c r="A45" s="173"/>
      <c r="B45" s="151" t="s">
        <v>444</v>
      </c>
      <c r="C45" s="152">
        <f>'Captured Pool'!J34</f>
        <v>71004</v>
      </c>
      <c r="D45" s="153" t="s">
        <v>123</v>
      </c>
      <c r="E45" s="153"/>
      <c r="F45" s="151" t="s">
        <v>508</v>
      </c>
      <c r="G45" s="158">
        <f t="shared" si="4"/>
        <v>111004</v>
      </c>
      <c r="H45" s="174"/>
      <c r="I45" s="175">
        <v>1</v>
      </c>
      <c r="J45" s="180">
        <f t="shared" si="5"/>
        <v>71004</v>
      </c>
    </row>
    <row r="46" spans="1:10" s="177" customFormat="1" ht="12.75">
      <c r="A46" s="173"/>
      <c r="B46" s="154" t="s">
        <v>444</v>
      </c>
      <c r="C46" s="155">
        <v>70000</v>
      </c>
      <c r="D46" s="156" t="s">
        <v>13</v>
      </c>
      <c r="E46" s="156">
        <v>1</v>
      </c>
      <c r="F46" s="154" t="s">
        <v>321</v>
      </c>
      <c r="G46" s="158">
        <f t="shared" si="4"/>
        <v>181004</v>
      </c>
      <c r="H46" s="174"/>
      <c r="I46" s="175">
        <v>1</v>
      </c>
      <c r="J46" s="180">
        <f t="shared" si="5"/>
        <v>70000</v>
      </c>
    </row>
    <row r="47" spans="1:10" s="177" customFormat="1" ht="12.75">
      <c r="A47" s="173"/>
      <c r="B47" s="154" t="s">
        <v>443</v>
      </c>
      <c r="C47" s="155">
        <v>80000</v>
      </c>
      <c r="D47" s="156" t="s">
        <v>13</v>
      </c>
      <c r="E47" s="156">
        <v>2</v>
      </c>
      <c r="F47" s="154" t="s">
        <v>322</v>
      </c>
      <c r="G47" s="158">
        <f t="shared" si="4"/>
        <v>261004</v>
      </c>
      <c r="H47" s="174"/>
      <c r="I47" s="175">
        <v>1</v>
      </c>
      <c r="J47" s="180">
        <f t="shared" si="5"/>
        <v>80000</v>
      </c>
    </row>
    <row r="48" spans="1:10" s="177" customFormat="1" ht="12.75">
      <c r="A48" s="173"/>
      <c r="B48" s="154" t="s">
        <v>443</v>
      </c>
      <c r="C48" s="155">
        <v>80000</v>
      </c>
      <c r="D48" s="156" t="s">
        <v>13</v>
      </c>
      <c r="E48" s="156">
        <v>3</v>
      </c>
      <c r="F48" s="154" t="s">
        <v>322</v>
      </c>
      <c r="G48" s="158">
        <f t="shared" si="4"/>
        <v>341004</v>
      </c>
      <c r="H48" s="174"/>
      <c r="I48" s="175">
        <v>1</v>
      </c>
      <c r="J48" s="180">
        <f t="shared" si="5"/>
        <v>80000</v>
      </c>
    </row>
    <row r="49" spans="1:10" s="177" customFormat="1" ht="12.75">
      <c r="A49" s="173"/>
      <c r="B49" s="148" t="s">
        <v>444</v>
      </c>
      <c r="C49" s="149">
        <v>100000</v>
      </c>
      <c r="D49" s="150" t="s">
        <v>291</v>
      </c>
      <c r="E49" s="150">
        <v>4</v>
      </c>
      <c r="F49" s="148" t="s">
        <v>323</v>
      </c>
      <c r="G49" s="272">
        <f t="shared" si="4"/>
        <v>441004</v>
      </c>
      <c r="H49" s="220"/>
      <c r="I49" s="221">
        <v>0</v>
      </c>
      <c r="J49" s="271">
        <f t="shared" si="5"/>
        <v>0</v>
      </c>
    </row>
    <row r="50" spans="2:10" s="177" customFormat="1" ht="12.75">
      <c r="B50" s="194" t="s">
        <v>111</v>
      </c>
      <c r="C50" s="195">
        <f>SUM(C44:C49)</f>
        <v>441004</v>
      </c>
      <c r="D50" s="156"/>
      <c r="E50" s="196">
        <f>'Captured Pool'!C38</f>
        <v>5</v>
      </c>
      <c r="F50" s="194" t="s">
        <v>431</v>
      </c>
      <c r="G50" s="159"/>
      <c r="H50" s="197">
        <f>'Captured Pool'!J38</f>
        <v>368028</v>
      </c>
      <c r="I50" s="196">
        <f>SUBTOTAL(9,I44:I49)-1</f>
        <v>4</v>
      </c>
      <c r="J50" s="198">
        <f>SUBTOTAL(9,J44:J49)</f>
        <v>341004</v>
      </c>
    </row>
    <row r="51" spans="2:10" s="177" customFormat="1" ht="12.75">
      <c r="B51" s="206"/>
      <c r="C51" s="207"/>
      <c r="D51" s="208"/>
      <c r="E51" s="208"/>
      <c r="F51" s="138"/>
      <c r="G51" s="209"/>
      <c r="H51" s="210"/>
      <c r="I51" s="211"/>
      <c r="J51" s="209"/>
    </row>
    <row r="52" spans="1:10" s="177" customFormat="1" ht="12.75">
      <c r="A52" s="173" t="s">
        <v>434</v>
      </c>
      <c r="B52" s="151" t="s">
        <v>182</v>
      </c>
      <c r="C52" s="152">
        <f>'Ed'!C10</f>
        <v>46800</v>
      </c>
      <c r="D52" s="153" t="s">
        <v>123</v>
      </c>
      <c r="E52" s="153"/>
      <c r="F52" s="151" t="s">
        <v>117</v>
      </c>
      <c r="G52" s="158">
        <f>G51+C52</f>
        <v>46800</v>
      </c>
      <c r="H52" s="178"/>
      <c r="I52" s="179">
        <v>1</v>
      </c>
      <c r="J52" s="180">
        <f>I52*C52</f>
        <v>46800</v>
      </c>
    </row>
    <row r="53" spans="1:10" s="177" customFormat="1" ht="12.75">
      <c r="A53" s="173"/>
      <c r="B53" s="151" t="s">
        <v>445</v>
      </c>
      <c r="C53" s="152">
        <f>'Ed'!C11</f>
        <v>47004</v>
      </c>
      <c r="D53" s="153" t="s">
        <v>123</v>
      </c>
      <c r="E53" s="153"/>
      <c r="F53" s="151" t="s">
        <v>357</v>
      </c>
      <c r="G53" s="158">
        <f aca="true" t="shared" si="6" ref="G53:G60">G52+C53</f>
        <v>93804</v>
      </c>
      <c r="H53" s="174"/>
      <c r="I53" s="175">
        <v>1</v>
      </c>
      <c r="J53" s="176">
        <f aca="true" t="shared" si="7" ref="J53:J60">I53*C53</f>
        <v>47004</v>
      </c>
    </row>
    <row r="54" spans="1:10" s="177" customFormat="1" ht="12.75">
      <c r="A54" s="173"/>
      <c r="B54" s="154" t="s">
        <v>167</v>
      </c>
      <c r="C54" s="155">
        <v>18064</v>
      </c>
      <c r="D54" s="156" t="s">
        <v>432</v>
      </c>
      <c r="E54" s="156">
        <f>E53+1</f>
        <v>1</v>
      </c>
      <c r="F54" s="154" t="s">
        <v>167</v>
      </c>
      <c r="G54" s="167">
        <f t="shared" si="6"/>
        <v>111868</v>
      </c>
      <c r="H54" s="174"/>
      <c r="I54" s="175">
        <v>1</v>
      </c>
      <c r="J54" s="176">
        <f>I54*C54-6125</f>
        <v>11939</v>
      </c>
    </row>
    <row r="55" spans="1:10" s="177" customFormat="1" ht="12.75">
      <c r="A55" s="173"/>
      <c r="B55" s="154" t="s">
        <v>292</v>
      </c>
      <c r="C55" s="155">
        <f>71600</f>
        <v>71600</v>
      </c>
      <c r="D55" s="156" t="s">
        <v>24</v>
      </c>
      <c r="E55" s="156">
        <f aca="true" t="shared" si="8" ref="E55:E60">E54+1</f>
        <v>2</v>
      </c>
      <c r="F55" s="154" t="s">
        <v>325</v>
      </c>
      <c r="G55" s="167">
        <f t="shared" si="6"/>
        <v>183468</v>
      </c>
      <c r="H55" s="174"/>
      <c r="I55" s="175">
        <v>1</v>
      </c>
      <c r="J55" s="176">
        <f t="shared" si="7"/>
        <v>71600</v>
      </c>
    </row>
    <row r="56" spans="1:10" s="177" customFormat="1" ht="12.75">
      <c r="A56" s="173"/>
      <c r="B56" s="154" t="s">
        <v>446</v>
      </c>
      <c r="C56" s="270">
        <v>49764</v>
      </c>
      <c r="D56" s="156" t="s">
        <v>13</v>
      </c>
      <c r="E56" s="156">
        <f t="shared" si="8"/>
        <v>3</v>
      </c>
      <c r="F56" s="154" t="s">
        <v>324</v>
      </c>
      <c r="G56" s="167">
        <f t="shared" si="6"/>
        <v>233232</v>
      </c>
      <c r="H56" s="174"/>
      <c r="I56" s="175">
        <v>1</v>
      </c>
      <c r="J56" s="176">
        <f t="shared" si="7"/>
        <v>49764</v>
      </c>
    </row>
    <row r="57" spans="1:10" s="177" customFormat="1" ht="12.75">
      <c r="A57" s="173"/>
      <c r="B57" s="154" t="s">
        <v>293</v>
      </c>
      <c r="C57" s="155">
        <v>50469</v>
      </c>
      <c r="D57" s="156" t="s">
        <v>13</v>
      </c>
      <c r="E57" s="156">
        <f t="shared" si="8"/>
        <v>4</v>
      </c>
      <c r="F57" s="154"/>
      <c r="G57" s="167">
        <f t="shared" si="6"/>
        <v>283701</v>
      </c>
      <c r="H57" s="174"/>
      <c r="I57" s="175">
        <v>1</v>
      </c>
      <c r="J57" s="176">
        <f t="shared" si="7"/>
        <v>50469</v>
      </c>
    </row>
    <row r="58" spans="1:10" s="177" customFormat="1" ht="12.75">
      <c r="A58" s="173"/>
      <c r="B58" s="148" t="s">
        <v>294</v>
      </c>
      <c r="C58" s="161">
        <f>85044-42522</f>
        <v>42522</v>
      </c>
      <c r="D58" s="150" t="s">
        <v>295</v>
      </c>
      <c r="E58" s="150">
        <f t="shared" si="8"/>
        <v>5</v>
      </c>
      <c r="F58" s="148" t="s">
        <v>326</v>
      </c>
      <c r="G58" s="166">
        <f t="shared" si="6"/>
        <v>326223</v>
      </c>
      <c r="H58" s="220"/>
      <c r="I58" s="221">
        <v>0</v>
      </c>
      <c r="J58" s="222">
        <f t="shared" si="7"/>
        <v>0</v>
      </c>
    </row>
    <row r="59" spans="1:10" s="177" customFormat="1" ht="12.75">
      <c r="A59" s="173"/>
      <c r="B59" s="148" t="s">
        <v>446</v>
      </c>
      <c r="C59" s="149">
        <v>47150</v>
      </c>
      <c r="D59" s="150" t="s">
        <v>13</v>
      </c>
      <c r="E59" s="150">
        <f t="shared" si="8"/>
        <v>6</v>
      </c>
      <c r="F59" s="148" t="s">
        <v>327</v>
      </c>
      <c r="G59" s="166">
        <f t="shared" si="6"/>
        <v>373373</v>
      </c>
      <c r="H59" s="220"/>
      <c r="I59" s="221">
        <v>0</v>
      </c>
      <c r="J59" s="222">
        <f t="shared" si="7"/>
        <v>0</v>
      </c>
    </row>
    <row r="60" spans="1:10" s="177" customFormat="1" ht="12.75">
      <c r="A60" s="173"/>
      <c r="B60" s="148" t="s">
        <v>296</v>
      </c>
      <c r="C60" s="149">
        <v>46020</v>
      </c>
      <c r="D60" s="150" t="s">
        <v>13</v>
      </c>
      <c r="E60" s="150">
        <f t="shared" si="8"/>
        <v>7</v>
      </c>
      <c r="F60" s="148" t="s">
        <v>328</v>
      </c>
      <c r="G60" s="166">
        <f t="shared" si="6"/>
        <v>419393</v>
      </c>
      <c r="H60" s="220"/>
      <c r="I60" s="221">
        <v>0</v>
      </c>
      <c r="J60" s="222">
        <f t="shared" si="7"/>
        <v>0</v>
      </c>
    </row>
    <row r="61" spans="2:10" s="177" customFormat="1" ht="12.75">
      <c r="B61" s="194" t="s">
        <v>112</v>
      </c>
      <c r="C61" s="195">
        <f>SUM(C52:C60)</f>
        <v>419393</v>
      </c>
      <c r="D61" s="156"/>
      <c r="E61" s="196">
        <f>'Captured Pool'!C45</f>
        <v>4</v>
      </c>
      <c r="F61" s="194" t="s">
        <v>431</v>
      </c>
      <c r="G61" s="171"/>
      <c r="H61" s="197">
        <f>'Captured Pool'!J45</f>
        <v>200412</v>
      </c>
      <c r="I61" s="196">
        <f>SUBTOTAL(9,I52:I60)-1</f>
        <v>5</v>
      </c>
      <c r="J61" s="198">
        <f>SUBTOTAL(9,J52:J60)</f>
        <v>277576</v>
      </c>
    </row>
    <row r="62" spans="2:10" s="177" customFormat="1" ht="12.75">
      <c r="B62" s="171"/>
      <c r="C62" s="200"/>
      <c r="D62" s="201"/>
      <c r="E62" s="201"/>
      <c r="H62" s="205"/>
      <c r="I62" s="170"/>
      <c r="J62" s="169"/>
    </row>
    <row r="63" spans="1:10" s="177" customFormat="1" ht="12.75">
      <c r="A63" s="173" t="s">
        <v>435</v>
      </c>
      <c r="B63" s="151" t="s">
        <v>360</v>
      </c>
      <c r="C63" s="152">
        <f>Engrg!C10</f>
        <v>71004</v>
      </c>
      <c r="D63" s="153" t="s">
        <v>361</v>
      </c>
      <c r="E63" s="153"/>
      <c r="F63" s="151" t="s">
        <v>228</v>
      </c>
      <c r="G63" s="158">
        <f>G62+C63</f>
        <v>71004</v>
      </c>
      <c r="H63" s="178"/>
      <c r="I63" s="179">
        <v>1</v>
      </c>
      <c r="J63" s="180">
        <f>I63*C63</f>
        <v>71004</v>
      </c>
    </row>
    <row r="64" spans="1:10" s="177" customFormat="1" ht="12.75">
      <c r="A64" s="173"/>
      <c r="B64" s="151" t="s">
        <v>362</v>
      </c>
      <c r="C64" s="152">
        <f>Engrg!C11+Engrg!C26</f>
        <v>13872</v>
      </c>
      <c r="D64" s="153" t="s">
        <v>363</v>
      </c>
      <c r="E64" s="153"/>
      <c r="F64" s="151" t="s">
        <v>364</v>
      </c>
      <c r="G64" s="158">
        <f aca="true" t="shared" si="9" ref="G64:G73">G63+C64</f>
        <v>84876</v>
      </c>
      <c r="H64" s="174"/>
      <c r="I64" s="175">
        <v>1</v>
      </c>
      <c r="J64" s="176">
        <f aca="true" t="shared" si="10" ref="J64:J73">I64*C64</f>
        <v>13872</v>
      </c>
    </row>
    <row r="65" spans="1:10" s="177" customFormat="1" ht="12.75">
      <c r="A65" s="173"/>
      <c r="B65" s="151" t="s">
        <v>365</v>
      </c>
      <c r="C65" s="152">
        <f>Engrg!C12</f>
        <v>64008</v>
      </c>
      <c r="D65" s="153" t="s">
        <v>13</v>
      </c>
      <c r="E65" s="153"/>
      <c r="F65" s="151" t="s">
        <v>117</v>
      </c>
      <c r="G65" s="158">
        <f t="shared" si="9"/>
        <v>148884</v>
      </c>
      <c r="H65" s="174"/>
      <c r="I65" s="175">
        <v>1</v>
      </c>
      <c r="J65" s="176">
        <f t="shared" si="10"/>
        <v>64008</v>
      </c>
    </row>
    <row r="66" spans="1:10" s="177" customFormat="1" ht="12.75">
      <c r="A66" s="173"/>
      <c r="B66" s="154" t="s">
        <v>297</v>
      </c>
      <c r="C66" s="155">
        <v>72000</v>
      </c>
      <c r="D66" s="156" t="s">
        <v>13</v>
      </c>
      <c r="E66" s="156">
        <v>1</v>
      </c>
      <c r="F66" s="154" t="s">
        <v>329</v>
      </c>
      <c r="G66" s="159">
        <f t="shared" si="9"/>
        <v>220884</v>
      </c>
      <c r="H66" s="174"/>
      <c r="I66" s="175">
        <v>1</v>
      </c>
      <c r="J66" s="176">
        <f t="shared" si="10"/>
        <v>72000</v>
      </c>
    </row>
    <row r="67" spans="1:10" s="177" customFormat="1" ht="12.75">
      <c r="A67" s="173"/>
      <c r="B67" s="154" t="s">
        <v>298</v>
      </c>
      <c r="C67" s="155">
        <v>75000</v>
      </c>
      <c r="D67" s="156" t="s">
        <v>13</v>
      </c>
      <c r="E67" s="156">
        <v>2</v>
      </c>
      <c r="F67" s="154" t="s">
        <v>330</v>
      </c>
      <c r="G67" s="159">
        <f t="shared" si="9"/>
        <v>295884</v>
      </c>
      <c r="H67" s="174"/>
      <c r="I67" s="175">
        <v>1</v>
      </c>
      <c r="J67" s="176">
        <f t="shared" si="10"/>
        <v>75000</v>
      </c>
    </row>
    <row r="68" spans="1:10" s="177" customFormat="1" ht="12.75">
      <c r="A68" s="173"/>
      <c r="B68" s="154" t="s">
        <v>365</v>
      </c>
      <c r="C68" s="155">
        <v>66000</v>
      </c>
      <c r="D68" s="156" t="s">
        <v>123</v>
      </c>
      <c r="E68" s="156">
        <v>3</v>
      </c>
      <c r="F68" s="154" t="s">
        <v>331</v>
      </c>
      <c r="G68" s="159">
        <f t="shared" si="9"/>
        <v>361884</v>
      </c>
      <c r="H68" s="174"/>
      <c r="I68" s="175">
        <v>1</v>
      </c>
      <c r="J68" s="176">
        <f t="shared" si="10"/>
        <v>66000</v>
      </c>
    </row>
    <row r="69" spans="1:10" s="177" customFormat="1" ht="12.75">
      <c r="A69" s="173"/>
      <c r="B69" s="148" t="s">
        <v>299</v>
      </c>
      <c r="C69" s="149">
        <v>99000</v>
      </c>
      <c r="D69" s="150" t="s">
        <v>300</v>
      </c>
      <c r="E69" s="150">
        <v>4</v>
      </c>
      <c r="F69" s="148" t="s">
        <v>332</v>
      </c>
      <c r="G69" s="157">
        <f t="shared" si="9"/>
        <v>460884</v>
      </c>
      <c r="H69" s="220"/>
      <c r="I69" s="221">
        <v>0</v>
      </c>
      <c r="J69" s="222">
        <f t="shared" si="10"/>
        <v>0</v>
      </c>
    </row>
    <row r="70" spans="1:10" s="177" customFormat="1" ht="12.75">
      <c r="A70" s="173"/>
      <c r="B70" s="148" t="s">
        <v>297</v>
      </c>
      <c r="C70" s="149">
        <v>72000</v>
      </c>
      <c r="D70" s="150" t="s">
        <v>13</v>
      </c>
      <c r="E70" s="150">
        <v>5</v>
      </c>
      <c r="F70" s="148" t="s">
        <v>333</v>
      </c>
      <c r="G70" s="157">
        <f t="shared" si="9"/>
        <v>532884</v>
      </c>
      <c r="H70" s="220"/>
      <c r="I70" s="221">
        <v>0</v>
      </c>
      <c r="J70" s="222">
        <f t="shared" si="10"/>
        <v>0</v>
      </c>
    </row>
    <row r="71" spans="1:10" s="177" customFormat="1" ht="12.75">
      <c r="A71" s="173"/>
      <c r="B71" s="148" t="s">
        <v>362</v>
      </c>
      <c r="C71" s="149">
        <v>61992</v>
      </c>
      <c r="D71" s="150" t="s">
        <v>13</v>
      </c>
      <c r="E71" s="150">
        <v>6</v>
      </c>
      <c r="F71" s="148" t="s">
        <v>334</v>
      </c>
      <c r="G71" s="157">
        <f t="shared" si="9"/>
        <v>594876</v>
      </c>
      <c r="H71" s="220"/>
      <c r="I71" s="221">
        <v>0</v>
      </c>
      <c r="J71" s="222">
        <f t="shared" si="10"/>
        <v>0</v>
      </c>
    </row>
    <row r="72" spans="1:10" s="177" customFormat="1" ht="12.75">
      <c r="A72" s="173"/>
      <c r="B72" s="148" t="s">
        <v>297</v>
      </c>
      <c r="C72" s="149">
        <v>72000</v>
      </c>
      <c r="D72" s="150" t="s">
        <v>13</v>
      </c>
      <c r="E72" s="150">
        <v>7</v>
      </c>
      <c r="F72" s="148" t="s">
        <v>335</v>
      </c>
      <c r="G72" s="157">
        <f t="shared" si="9"/>
        <v>666876</v>
      </c>
      <c r="H72" s="220"/>
      <c r="I72" s="221">
        <v>0</v>
      </c>
      <c r="J72" s="222">
        <f t="shared" si="10"/>
        <v>0</v>
      </c>
    </row>
    <row r="73" spans="1:10" s="177" customFormat="1" ht="12.75">
      <c r="A73" s="173"/>
      <c r="B73" s="148" t="s">
        <v>298</v>
      </c>
      <c r="C73" s="149">
        <v>75000</v>
      </c>
      <c r="D73" s="150" t="s">
        <v>13</v>
      </c>
      <c r="E73" s="150">
        <v>8</v>
      </c>
      <c r="F73" s="148" t="s">
        <v>336</v>
      </c>
      <c r="G73" s="157">
        <f t="shared" si="9"/>
        <v>741876</v>
      </c>
      <c r="H73" s="220"/>
      <c r="I73" s="221">
        <v>0</v>
      </c>
      <c r="J73" s="222">
        <f t="shared" si="10"/>
        <v>0</v>
      </c>
    </row>
    <row r="74" spans="2:10" s="177" customFormat="1" ht="12.75">
      <c r="B74" s="194" t="s">
        <v>113</v>
      </c>
      <c r="C74" s="195">
        <f>SUM(C63:C73)</f>
        <v>741876</v>
      </c>
      <c r="D74" s="156"/>
      <c r="E74" s="196">
        <f>'Captured Pool'!C54</f>
        <v>6</v>
      </c>
      <c r="F74" s="194" t="s">
        <v>431</v>
      </c>
      <c r="G74" s="171"/>
      <c r="H74" s="197">
        <f>'Captured Pool'!J54</f>
        <v>358452</v>
      </c>
      <c r="I74" s="196">
        <f>SUBTOTAL(9,I63:I73)-1</f>
        <v>5</v>
      </c>
      <c r="J74" s="198">
        <f>SUBTOTAL(9,J63:J73)</f>
        <v>361884</v>
      </c>
    </row>
    <row r="75" spans="2:10" s="177" customFormat="1" ht="12.75">
      <c r="B75" s="206"/>
      <c r="C75" s="207"/>
      <c r="D75" s="208"/>
      <c r="E75" s="208"/>
      <c r="F75" s="138"/>
      <c r="H75" s="205"/>
      <c r="I75" s="208"/>
      <c r="J75" s="169"/>
    </row>
    <row r="76" spans="3:10" s="177" customFormat="1" ht="12.75">
      <c r="C76" s="200"/>
      <c r="D76" s="201"/>
      <c r="E76" s="201"/>
      <c r="H76" s="210"/>
      <c r="I76" s="208"/>
      <c r="J76" s="209"/>
    </row>
    <row r="77" spans="1:10" s="177" customFormat="1" ht="12.75">
      <c r="A77" s="173" t="s">
        <v>436</v>
      </c>
      <c r="B77" s="151" t="s">
        <v>61</v>
      </c>
      <c r="C77" s="152">
        <f>'HS'!C10</f>
        <v>57000</v>
      </c>
      <c r="D77" s="153" t="s">
        <v>175</v>
      </c>
      <c r="E77" s="153"/>
      <c r="F77" s="151" t="s">
        <v>429</v>
      </c>
      <c r="G77" s="158">
        <f>G76+C77</f>
        <v>57000</v>
      </c>
      <c r="H77" s="178"/>
      <c r="I77" s="179">
        <v>1</v>
      </c>
      <c r="J77" s="180">
        <f>I77*C77</f>
        <v>57000</v>
      </c>
    </row>
    <row r="78" spans="1:10" s="177" customFormat="1" ht="12.75">
      <c r="A78" s="173"/>
      <c r="B78" s="151" t="s">
        <v>61</v>
      </c>
      <c r="C78" s="152">
        <f>'HS'!C11</f>
        <v>57000</v>
      </c>
      <c r="D78" s="153" t="s">
        <v>175</v>
      </c>
      <c r="E78" s="153"/>
      <c r="F78" s="151" t="s">
        <v>378</v>
      </c>
      <c r="G78" s="158">
        <f aca="true" t="shared" si="11" ref="G78:G107">G77+C78</f>
        <v>114000</v>
      </c>
      <c r="H78" s="174"/>
      <c r="I78" s="175">
        <v>1</v>
      </c>
      <c r="J78" s="176">
        <f aca="true" t="shared" si="12" ref="J78:J107">I78*C78</f>
        <v>57000</v>
      </c>
    </row>
    <row r="79" spans="1:10" s="177" customFormat="1" ht="12.75">
      <c r="A79" s="173"/>
      <c r="B79" s="151" t="s">
        <v>61</v>
      </c>
      <c r="C79" s="152">
        <f>'HS'!C12</f>
        <v>57000</v>
      </c>
      <c r="D79" s="153" t="s">
        <v>379</v>
      </c>
      <c r="E79" s="153"/>
      <c r="F79" s="151" t="s">
        <v>380</v>
      </c>
      <c r="G79" s="158">
        <f t="shared" si="11"/>
        <v>171000</v>
      </c>
      <c r="H79" s="174"/>
      <c r="I79" s="175">
        <v>1</v>
      </c>
      <c r="J79" s="176">
        <f t="shared" si="12"/>
        <v>57000</v>
      </c>
    </row>
    <row r="80" spans="1:10" s="177" customFormat="1" ht="12.75">
      <c r="A80" s="173"/>
      <c r="B80" s="151" t="s">
        <v>447</v>
      </c>
      <c r="C80" s="152">
        <v>135000</v>
      </c>
      <c r="D80" s="153" t="s">
        <v>171</v>
      </c>
      <c r="E80" s="153"/>
      <c r="F80" s="151" t="s">
        <v>381</v>
      </c>
      <c r="G80" s="158">
        <f t="shared" si="11"/>
        <v>306000</v>
      </c>
      <c r="H80" s="174"/>
      <c r="I80" s="175">
        <v>1</v>
      </c>
      <c r="J80" s="176">
        <f>I80*C80+10000</f>
        <v>145000</v>
      </c>
    </row>
    <row r="81" spans="1:10" s="177" customFormat="1" ht="12.75">
      <c r="A81" s="173"/>
      <c r="B81" s="151" t="s">
        <v>447</v>
      </c>
      <c r="C81" s="152">
        <v>120000</v>
      </c>
      <c r="D81" s="153" t="s">
        <v>379</v>
      </c>
      <c r="E81" s="153"/>
      <c r="F81" s="151" t="s">
        <v>382</v>
      </c>
      <c r="G81" s="158">
        <f t="shared" si="11"/>
        <v>426000</v>
      </c>
      <c r="H81" s="174"/>
      <c r="I81" s="175">
        <v>1</v>
      </c>
      <c r="J81" s="176">
        <f t="shared" si="12"/>
        <v>120000</v>
      </c>
    </row>
    <row r="82" spans="1:10" s="177" customFormat="1" ht="12.75">
      <c r="A82" s="173"/>
      <c r="B82" s="151" t="s">
        <v>303</v>
      </c>
      <c r="C82" s="152">
        <f>'HS'!C15</f>
        <v>40404</v>
      </c>
      <c r="D82" s="153" t="s">
        <v>133</v>
      </c>
      <c r="E82" s="153"/>
      <c r="F82" s="151" t="s">
        <v>383</v>
      </c>
      <c r="G82" s="158">
        <f t="shared" si="11"/>
        <v>466404</v>
      </c>
      <c r="H82" s="174"/>
      <c r="I82" s="175">
        <v>1</v>
      </c>
      <c r="J82" s="176">
        <f t="shared" si="12"/>
        <v>40404</v>
      </c>
    </row>
    <row r="83" spans="1:10" s="177" customFormat="1" ht="12.75">
      <c r="A83" s="173"/>
      <c r="B83" s="151" t="s">
        <v>448</v>
      </c>
      <c r="C83" s="152">
        <f>'HS'!C16</f>
        <v>35364</v>
      </c>
      <c r="D83" s="153" t="s">
        <v>133</v>
      </c>
      <c r="E83" s="153"/>
      <c r="F83" s="151" t="s">
        <v>386</v>
      </c>
      <c r="G83" s="158">
        <f t="shared" si="11"/>
        <v>501768</v>
      </c>
      <c r="H83" s="174"/>
      <c r="I83" s="175">
        <v>1</v>
      </c>
      <c r="J83" s="176">
        <f t="shared" si="12"/>
        <v>35364</v>
      </c>
    </row>
    <row r="84" spans="1:10" s="177" customFormat="1" ht="12.75">
      <c r="A84" s="173"/>
      <c r="B84" s="151" t="s">
        <v>301</v>
      </c>
      <c r="C84" s="152">
        <f>'HS'!C18</f>
        <v>43200</v>
      </c>
      <c r="D84" s="153" t="s">
        <v>175</v>
      </c>
      <c r="E84" s="153"/>
      <c r="F84" s="151" t="s">
        <v>255</v>
      </c>
      <c r="G84" s="158">
        <f t="shared" si="11"/>
        <v>544968</v>
      </c>
      <c r="H84" s="174"/>
      <c r="I84" s="175">
        <v>1</v>
      </c>
      <c r="J84" s="176">
        <f t="shared" si="12"/>
        <v>43200</v>
      </c>
    </row>
    <row r="85" spans="1:10" s="177" customFormat="1" ht="12.75">
      <c r="A85" s="173"/>
      <c r="B85" s="151" t="s">
        <v>189</v>
      </c>
      <c r="C85" s="152">
        <v>44004</v>
      </c>
      <c r="D85" s="153" t="s">
        <v>123</v>
      </c>
      <c r="E85" s="153"/>
      <c r="F85" s="151" t="s">
        <v>117</v>
      </c>
      <c r="G85" s="158">
        <f t="shared" si="11"/>
        <v>588972</v>
      </c>
      <c r="H85" s="174"/>
      <c r="I85" s="175">
        <v>1</v>
      </c>
      <c r="J85" s="176">
        <f t="shared" si="12"/>
        <v>44004</v>
      </c>
    </row>
    <row r="86" spans="1:10" s="177" customFormat="1" ht="12.75">
      <c r="A86" s="173"/>
      <c r="B86" s="151" t="s">
        <v>448</v>
      </c>
      <c r="C86" s="152">
        <v>70008</v>
      </c>
      <c r="D86" s="153" t="s">
        <v>171</v>
      </c>
      <c r="E86" s="153"/>
      <c r="F86" s="151" t="s">
        <v>424</v>
      </c>
      <c r="G86" s="158">
        <f>G84+C86</f>
        <v>614976</v>
      </c>
      <c r="H86" s="174"/>
      <c r="I86" s="175">
        <v>1</v>
      </c>
      <c r="J86" s="176">
        <f t="shared" si="12"/>
        <v>70008</v>
      </c>
    </row>
    <row r="87" spans="1:10" s="177" customFormat="1" ht="12.75">
      <c r="A87" s="173"/>
      <c r="B87" s="154" t="s">
        <v>189</v>
      </c>
      <c r="C87" s="155">
        <v>132000</v>
      </c>
      <c r="D87" s="156" t="s">
        <v>24</v>
      </c>
      <c r="E87" s="156">
        <v>1</v>
      </c>
      <c r="F87" s="154" t="s">
        <v>337</v>
      </c>
      <c r="G87" s="167">
        <f t="shared" si="11"/>
        <v>746976</v>
      </c>
      <c r="H87" s="174"/>
      <c r="I87" s="175">
        <v>1</v>
      </c>
      <c r="J87" s="176">
        <f>I87*C87/1.2</f>
        <v>110000</v>
      </c>
    </row>
    <row r="88" spans="1:10" s="177" customFormat="1" ht="12.75">
      <c r="A88" s="173"/>
      <c r="B88" s="154" t="s">
        <v>233</v>
      </c>
      <c r="C88" s="155">
        <v>85000</v>
      </c>
      <c r="D88" s="156" t="s">
        <v>291</v>
      </c>
      <c r="E88" s="156">
        <v>2</v>
      </c>
      <c r="F88" s="154" t="s">
        <v>338</v>
      </c>
      <c r="G88" s="167">
        <f t="shared" si="11"/>
        <v>831976</v>
      </c>
      <c r="H88" s="174"/>
      <c r="I88" s="175">
        <v>1</v>
      </c>
      <c r="J88" s="176">
        <f t="shared" si="12"/>
        <v>85000</v>
      </c>
    </row>
    <row r="89" spans="1:10" s="177" customFormat="1" ht="12.75">
      <c r="A89" s="173"/>
      <c r="B89" s="154" t="s">
        <v>189</v>
      </c>
      <c r="C89" s="155">
        <v>66600</v>
      </c>
      <c r="D89" s="156" t="s">
        <v>235</v>
      </c>
      <c r="E89" s="156">
        <v>3</v>
      </c>
      <c r="F89" s="154" t="s">
        <v>339</v>
      </c>
      <c r="G89" s="167">
        <f t="shared" si="11"/>
        <v>898576</v>
      </c>
      <c r="H89" s="174"/>
      <c r="I89" s="175">
        <v>1</v>
      </c>
      <c r="J89" s="176">
        <f t="shared" si="12"/>
        <v>66600</v>
      </c>
    </row>
    <row r="90" spans="1:10" s="177" customFormat="1" ht="12.75">
      <c r="A90" s="173"/>
      <c r="B90" s="154" t="s">
        <v>189</v>
      </c>
      <c r="C90" s="155">
        <v>55761</v>
      </c>
      <c r="D90" s="156" t="s">
        <v>13</v>
      </c>
      <c r="E90" s="156">
        <v>4</v>
      </c>
      <c r="F90" s="154" t="s">
        <v>340</v>
      </c>
      <c r="G90" s="167">
        <f t="shared" si="11"/>
        <v>954337</v>
      </c>
      <c r="H90" s="174"/>
      <c r="I90" s="175">
        <v>1</v>
      </c>
      <c r="J90" s="176">
        <f t="shared" si="12"/>
        <v>55761</v>
      </c>
    </row>
    <row r="91" spans="1:10" s="177" customFormat="1" ht="12.75">
      <c r="A91" s="173"/>
      <c r="B91" s="154" t="s">
        <v>189</v>
      </c>
      <c r="C91" s="155">
        <v>55761</v>
      </c>
      <c r="D91" s="156" t="s">
        <v>13</v>
      </c>
      <c r="E91" s="156">
        <v>5</v>
      </c>
      <c r="F91" s="154" t="s">
        <v>341</v>
      </c>
      <c r="G91" s="167">
        <f t="shared" si="11"/>
        <v>1010098</v>
      </c>
      <c r="H91" s="174"/>
      <c r="I91" s="175">
        <v>1</v>
      </c>
      <c r="J91" s="176">
        <f t="shared" si="12"/>
        <v>55761</v>
      </c>
    </row>
    <row r="92" spans="1:10" s="177" customFormat="1" ht="12.75">
      <c r="A92" s="173"/>
      <c r="B92" s="154" t="s">
        <v>233</v>
      </c>
      <c r="C92" s="155">
        <v>48000</v>
      </c>
      <c r="D92" s="156" t="s">
        <v>13</v>
      </c>
      <c r="E92" s="156">
        <v>6</v>
      </c>
      <c r="F92" s="154" t="s">
        <v>342</v>
      </c>
      <c r="G92" s="167">
        <f t="shared" si="11"/>
        <v>1058098</v>
      </c>
      <c r="H92" s="174"/>
      <c r="I92" s="175">
        <v>1</v>
      </c>
      <c r="J92" s="176">
        <f t="shared" si="12"/>
        <v>48000</v>
      </c>
    </row>
    <row r="93" spans="1:10" s="177" customFormat="1" ht="12.75">
      <c r="A93" s="173"/>
      <c r="B93" s="154" t="s">
        <v>303</v>
      </c>
      <c r="C93" s="155">
        <v>46052</v>
      </c>
      <c r="D93" s="156" t="s">
        <v>13</v>
      </c>
      <c r="E93" s="156">
        <v>7</v>
      </c>
      <c r="F93" s="154" t="s">
        <v>344</v>
      </c>
      <c r="G93" s="167">
        <f t="shared" si="11"/>
        <v>1104150</v>
      </c>
      <c r="H93" s="174"/>
      <c r="I93" s="175">
        <v>1</v>
      </c>
      <c r="J93" s="176">
        <f t="shared" si="12"/>
        <v>46052</v>
      </c>
    </row>
    <row r="94" spans="1:10" s="177" customFormat="1" ht="12.75">
      <c r="A94" s="173"/>
      <c r="B94" s="154" t="s">
        <v>303</v>
      </c>
      <c r="C94" s="155">
        <v>46052</v>
      </c>
      <c r="D94" s="156" t="s">
        <v>13</v>
      </c>
      <c r="E94" s="156">
        <v>8</v>
      </c>
      <c r="F94" s="154" t="s">
        <v>345</v>
      </c>
      <c r="G94" s="167">
        <f t="shared" si="11"/>
        <v>1150202</v>
      </c>
      <c r="H94" s="174"/>
      <c r="I94" s="175">
        <v>1</v>
      </c>
      <c r="J94" s="176">
        <f t="shared" si="12"/>
        <v>46052</v>
      </c>
    </row>
    <row r="95" spans="1:10" s="177" customFormat="1" ht="12.75">
      <c r="A95" s="173"/>
      <c r="B95" s="154" t="s">
        <v>301</v>
      </c>
      <c r="C95" s="155">
        <v>84280</v>
      </c>
      <c r="D95" s="156" t="s">
        <v>291</v>
      </c>
      <c r="E95" s="156">
        <v>9</v>
      </c>
      <c r="F95" s="154" t="s">
        <v>343</v>
      </c>
      <c r="G95" s="167">
        <f t="shared" si="11"/>
        <v>1234482</v>
      </c>
      <c r="H95" s="174"/>
      <c r="I95" s="175">
        <v>1</v>
      </c>
      <c r="J95" s="176">
        <f t="shared" si="12"/>
        <v>84280</v>
      </c>
    </row>
    <row r="96" spans="1:22" s="226" customFormat="1" ht="12.75">
      <c r="A96" s="173"/>
      <c r="B96" s="148" t="s">
        <v>233</v>
      </c>
      <c r="C96" s="149">
        <v>45000</v>
      </c>
      <c r="D96" s="150" t="s">
        <v>304</v>
      </c>
      <c r="E96" s="150">
        <v>10</v>
      </c>
      <c r="F96" s="148" t="s">
        <v>348</v>
      </c>
      <c r="G96" s="166">
        <f t="shared" si="11"/>
        <v>1279482</v>
      </c>
      <c r="H96" s="220"/>
      <c r="I96" s="221">
        <v>0</v>
      </c>
      <c r="J96" s="222">
        <f t="shared" si="12"/>
        <v>0</v>
      </c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</row>
    <row r="97" spans="1:22" s="226" customFormat="1" ht="12.75">
      <c r="A97" s="173"/>
      <c r="B97" s="148" t="s">
        <v>303</v>
      </c>
      <c r="C97" s="149">
        <v>37872</v>
      </c>
      <c r="D97" s="150" t="s">
        <v>304</v>
      </c>
      <c r="E97" s="150">
        <v>11</v>
      </c>
      <c r="F97" s="148" t="s">
        <v>346</v>
      </c>
      <c r="G97" s="166">
        <f t="shared" si="11"/>
        <v>1317354</v>
      </c>
      <c r="H97" s="220"/>
      <c r="I97" s="221">
        <v>0</v>
      </c>
      <c r="J97" s="222">
        <f t="shared" si="12"/>
        <v>0</v>
      </c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</row>
    <row r="98" spans="1:22" s="226" customFormat="1" ht="12.75">
      <c r="A98" s="173"/>
      <c r="B98" s="148" t="s">
        <v>301</v>
      </c>
      <c r="C98" s="149">
        <v>37032</v>
      </c>
      <c r="D98" s="150" t="s">
        <v>427</v>
      </c>
      <c r="E98" s="150">
        <v>12</v>
      </c>
      <c r="F98" s="148" t="s">
        <v>351</v>
      </c>
      <c r="G98" s="166">
        <f t="shared" si="11"/>
        <v>1354386</v>
      </c>
      <c r="H98" s="220"/>
      <c r="I98" s="221">
        <v>0</v>
      </c>
      <c r="J98" s="222">
        <f t="shared" si="12"/>
        <v>0</v>
      </c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</row>
    <row r="99" spans="1:22" s="226" customFormat="1" ht="12.75">
      <c r="A99" s="173"/>
      <c r="B99" s="148" t="s">
        <v>449</v>
      </c>
      <c r="C99" s="149">
        <v>122004</v>
      </c>
      <c r="D99" s="150" t="s">
        <v>302</v>
      </c>
      <c r="E99" s="150">
        <v>13</v>
      </c>
      <c r="F99" s="148" t="s">
        <v>350</v>
      </c>
      <c r="G99" s="166">
        <f t="shared" si="11"/>
        <v>1476390</v>
      </c>
      <c r="H99" s="220"/>
      <c r="I99" s="221">
        <v>0</v>
      </c>
      <c r="J99" s="222">
        <f t="shared" si="12"/>
        <v>0</v>
      </c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</row>
    <row r="100" spans="1:22" s="226" customFormat="1" ht="12.75">
      <c r="A100" s="173"/>
      <c r="B100" s="148" t="s">
        <v>448</v>
      </c>
      <c r="C100" s="149">
        <v>122004</v>
      </c>
      <c r="D100" s="150" t="s">
        <v>302</v>
      </c>
      <c r="E100" s="150">
        <v>14</v>
      </c>
      <c r="F100" s="148" t="s">
        <v>349</v>
      </c>
      <c r="G100" s="166">
        <f t="shared" si="11"/>
        <v>1598394</v>
      </c>
      <c r="H100" s="220"/>
      <c r="I100" s="221">
        <v>0</v>
      </c>
      <c r="J100" s="222">
        <f t="shared" si="12"/>
        <v>0</v>
      </c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</row>
    <row r="101" spans="1:22" s="226" customFormat="1" ht="12.75">
      <c r="A101" s="173"/>
      <c r="B101" s="148" t="s">
        <v>61</v>
      </c>
      <c r="C101" s="149">
        <v>12036</v>
      </c>
      <c r="D101" s="150" t="s">
        <v>13</v>
      </c>
      <c r="E101" s="150">
        <v>15</v>
      </c>
      <c r="F101" s="148" t="s">
        <v>353</v>
      </c>
      <c r="G101" s="166">
        <f t="shared" si="11"/>
        <v>1610430</v>
      </c>
      <c r="H101" s="220"/>
      <c r="I101" s="221">
        <v>0</v>
      </c>
      <c r="J101" s="222">
        <f t="shared" si="12"/>
        <v>0</v>
      </c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</row>
    <row r="102" spans="1:22" s="226" customFormat="1" ht="12.75">
      <c r="A102" s="173"/>
      <c r="B102" s="148" t="s">
        <v>301</v>
      </c>
      <c r="C102" s="149">
        <v>5748</v>
      </c>
      <c r="D102" s="150" t="s">
        <v>13</v>
      </c>
      <c r="E102" s="150">
        <v>16</v>
      </c>
      <c r="F102" s="148" t="s">
        <v>352</v>
      </c>
      <c r="G102" s="166">
        <f t="shared" si="11"/>
        <v>1616178</v>
      </c>
      <c r="H102" s="220"/>
      <c r="I102" s="221">
        <v>0</v>
      </c>
      <c r="J102" s="222">
        <f t="shared" si="12"/>
        <v>0</v>
      </c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</row>
    <row r="103" spans="1:22" s="226" customFormat="1" ht="12.75">
      <c r="A103" s="173"/>
      <c r="B103" s="148" t="s">
        <v>61</v>
      </c>
      <c r="C103" s="149">
        <v>55008</v>
      </c>
      <c r="D103" s="150" t="s">
        <v>13</v>
      </c>
      <c r="E103" s="150">
        <v>17</v>
      </c>
      <c r="F103" s="148" t="s">
        <v>430</v>
      </c>
      <c r="G103" s="166">
        <f t="shared" si="11"/>
        <v>1671186</v>
      </c>
      <c r="H103" s="220"/>
      <c r="I103" s="221">
        <v>0</v>
      </c>
      <c r="J103" s="222">
        <f t="shared" si="12"/>
        <v>0</v>
      </c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</row>
    <row r="104" spans="1:22" s="226" customFormat="1" ht="12.75">
      <c r="A104" s="173"/>
      <c r="B104" s="148" t="s">
        <v>61</v>
      </c>
      <c r="C104" s="149">
        <v>80000</v>
      </c>
      <c r="D104" s="150" t="s">
        <v>291</v>
      </c>
      <c r="E104" s="150">
        <v>18</v>
      </c>
      <c r="F104" s="148" t="s">
        <v>347</v>
      </c>
      <c r="G104" s="166">
        <f t="shared" si="11"/>
        <v>1751186</v>
      </c>
      <c r="H104" s="220"/>
      <c r="I104" s="221">
        <v>0</v>
      </c>
      <c r="J104" s="222">
        <f t="shared" si="12"/>
        <v>0</v>
      </c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</row>
    <row r="105" spans="1:22" s="226" customFormat="1" ht="12.75">
      <c r="A105" s="173"/>
      <c r="B105" s="148" t="s">
        <v>61</v>
      </c>
      <c r="C105" s="149">
        <v>14948</v>
      </c>
      <c r="D105" s="150" t="s">
        <v>13</v>
      </c>
      <c r="E105" s="150">
        <v>19</v>
      </c>
      <c r="F105" s="148" t="s">
        <v>352</v>
      </c>
      <c r="G105" s="166">
        <f t="shared" si="11"/>
        <v>1766134</v>
      </c>
      <c r="H105" s="220"/>
      <c r="I105" s="221">
        <v>0</v>
      </c>
      <c r="J105" s="222">
        <f t="shared" si="12"/>
        <v>0</v>
      </c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</row>
    <row r="106" spans="1:22" s="226" customFormat="1" ht="12.75">
      <c r="A106" s="173"/>
      <c r="B106" s="148" t="s">
        <v>61</v>
      </c>
      <c r="C106" s="149">
        <v>45000</v>
      </c>
      <c r="D106" s="150" t="s">
        <v>305</v>
      </c>
      <c r="E106" s="150">
        <v>20</v>
      </c>
      <c r="F106" s="148" t="s">
        <v>354</v>
      </c>
      <c r="G106" s="166">
        <f t="shared" si="11"/>
        <v>1811134</v>
      </c>
      <c r="H106" s="220"/>
      <c r="I106" s="221">
        <v>0</v>
      </c>
      <c r="J106" s="222">
        <f t="shared" si="12"/>
        <v>0</v>
      </c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</row>
    <row r="107" spans="1:22" s="226" customFormat="1" ht="12.75">
      <c r="A107" s="173"/>
      <c r="B107" s="148" t="s">
        <v>61</v>
      </c>
      <c r="C107" s="149">
        <v>45000</v>
      </c>
      <c r="D107" s="150" t="s">
        <v>305</v>
      </c>
      <c r="E107" s="150">
        <v>21</v>
      </c>
      <c r="F107" s="148" t="s">
        <v>355</v>
      </c>
      <c r="G107" s="166">
        <f t="shared" si="11"/>
        <v>1856134</v>
      </c>
      <c r="H107" s="220"/>
      <c r="I107" s="221">
        <v>0</v>
      </c>
      <c r="J107" s="222">
        <f t="shared" si="12"/>
        <v>0</v>
      </c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</row>
    <row r="108" spans="2:10" s="177" customFormat="1" ht="12.75">
      <c r="B108" s="194" t="s">
        <v>114</v>
      </c>
      <c r="C108" s="195">
        <f>SUM(C77:C107)</f>
        <v>1900138</v>
      </c>
      <c r="D108" s="156"/>
      <c r="E108" s="196">
        <f>'Captured Pool'!C77</f>
        <v>20</v>
      </c>
      <c r="F108" s="194" t="s">
        <v>431</v>
      </c>
      <c r="G108" s="171"/>
      <c r="H108" s="197">
        <f>'Captured Pool'!J77</f>
        <v>1255560</v>
      </c>
      <c r="I108" s="196">
        <f>SUBTOTAL(9,I77:I107)</f>
        <v>19</v>
      </c>
      <c r="J108" s="198">
        <f>SUBTOTAL(9,J77:J107)</f>
        <v>1266486</v>
      </c>
    </row>
    <row r="109" spans="2:10" s="177" customFormat="1" ht="12.75">
      <c r="B109" s="206"/>
      <c r="C109" s="207"/>
      <c r="D109" s="208"/>
      <c r="E109" s="208"/>
      <c r="F109" s="138"/>
      <c r="G109" s="202"/>
      <c r="H109" s="203"/>
      <c r="I109" s="204"/>
      <c r="J109" s="202"/>
    </row>
    <row r="110" spans="1:10" s="177" customFormat="1" ht="12.75">
      <c r="A110" s="173" t="s">
        <v>10</v>
      </c>
      <c r="B110" s="151"/>
      <c r="C110" s="152">
        <f>Law!C10</f>
        <v>71004</v>
      </c>
      <c r="D110" s="153" t="s">
        <v>13</v>
      </c>
      <c r="E110" s="153"/>
      <c r="F110" s="151" t="s">
        <v>237</v>
      </c>
      <c r="G110" s="158">
        <f>G109+C110</f>
        <v>71004</v>
      </c>
      <c r="H110" s="178"/>
      <c r="I110" s="179">
        <v>1</v>
      </c>
      <c r="J110" s="180">
        <f>I110*C110</f>
        <v>71004</v>
      </c>
    </row>
    <row r="111" spans="1:10" s="177" customFormat="1" ht="12.75">
      <c r="A111" s="173"/>
      <c r="B111" s="151"/>
      <c r="C111" s="152">
        <f>Law!C11</f>
        <v>71004</v>
      </c>
      <c r="D111" s="153" t="s">
        <v>13</v>
      </c>
      <c r="E111" s="153"/>
      <c r="F111" s="151" t="s">
        <v>117</v>
      </c>
      <c r="G111" s="158">
        <f>G110+C111</f>
        <v>142008</v>
      </c>
      <c r="H111" s="174"/>
      <c r="I111" s="175">
        <v>1</v>
      </c>
      <c r="J111" s="176">
        <f>I111*C111</f>
        <v>71004</v>
      </c>
    </row>
    <row r="112" spans="1:10" s="177" customFormat="1" ht="12.75">
      <c r="A112" s="173"/>
      <c r="B112" s="154"/>
      <c r="C112" s="155">
        <v>75000</v>
      </c>
      <c r="D112" s="156" t="s">
        <v>13</v>
      </c>
      <c r="E112" s="156">
        <v>1</v>
      </c>
      <c r="F112" s="154"/>
      <c r="G112" s="167">
        <f>G111+C112</f>
        <v>217008</v>
      </c>
      <c r="H112" s="174"/>
      <c r="I112" s="175">
        <v>1</v>
      </c>
      <c r="J112" s="176">
        <f>I112*C112</f>
        <v>75000</v>
      </c>
    </row>
    <row r="113" spans="1:10" s="177" customFormat="1" ht="12.75">
      <c r="A113" s="173"/>
      <c r="B113" s="154"/>
      <c r="C113" s="155">
        <v>86500</v>
      </c>
      <c r="D113" s="156" t="s">
        <v>235</v>
      </c>
      <c r="E113" s="156">
        <v>2</v>
      </c>
      <c r="F113" s="154"/>
      <c r="G113" s="167">
        <f>G112+C113</f>
        <v>303508</v>
      </c>
      <c r="H113" s="174"/>
      <c r="I113" s="175">
        <v>1</v>
      </c>
      <c r="J113" s="176">
        <f>I113*C113</f>
        <v>86500</v>
      </c>
    </row>
    <row r="114" spans="1:10" s="177" customFormat="1" ht="12.75">
      <c r="A114" s="173"/>
      <c r="B114" s="148"/>
      <c r="C114" s="149">
        <v>15000</v>
      </c>
      <c r="D114" s="150" t="s">
        <v>432</v>
      </c>
      <c r="E114" s="150">
        <v>3</v>
      </c>
      <c r="F114" s="148" t="s">
        <v>356</v>
      </c>
      <c r="G114" s="166">
        <f>G113+C114</f>
        <v>318508</v>
      </c>
      <c r="H114" s="220"/>
      <c r="I114" s="221">
        <v>0</v>
      </c>
      <c r="J114" s="222">
        <f>I114*C114</f>
        <v>0</v>
      </c>
    </row>
    <row r="115" spans="2:10" s="177" customFormat="1" ht="12.75">
      <c r="B115" s="194" t="s">
        <v>115</v>
      </c>
      <c r="C115" s="195">
        <f>SUM(C110:C114)</f>
        <v>318508</v>
      </c>
      <c r="D115" s="156"/>
      <c r="E115" s="196">
        <f>'Captured Pool'!C84</f>
        <v>4</v>
      </c>
      <c r="F115" s="194" t="s">
        <v>431</v>
      </c>
      <c r="G115" s="171"/>
      <c r="H115" s="197">
        <f>'Captured Pool'!J84</f>
        <v>322548</v>
      </c>
      <c r="I115" s="196">
        <f>SUBTOTAL(9,I110:I114)</f>
        <v>4</v>
      </c>
      <c r="J115" s="198">
        <f>SUBTOTAL(9,J110:J114)</f>
        <v>303508</v>
      </c>
    </row>
    <row r="116" spans="2:10" s="177" customFormat="1" ht="12.75">
      <c r="B116" s="206"/>
      <c r="C116" s="207"/>
      <c r="D116" s="208"/>
      <c r="E116" s="214"/>
      <c r="F116" s="206"/>
      <c r="G116" s="138"/>
      <c r="H116" s="215"/>
      <c r="I116" s="214"/>
      <c r="J116" s="216"/>
    </row>
    <row r="117" spans="1:10" s="177" customFormat="1" ht="12.75">
      <c r="A117" s="173" t="s">
        <v>474</v>
      </c>
      <c r="B117" s="107" t="s">
        <v>167</v>
      </c>
      <c r="C117" s="207">
        <f>Other!C12</f>
        <v>26312</v>
      </c>
      <c r="D117" s="208"/>
      <c r="E117" s="214"/>
      <c r="F117" s="206"/>
      <c r="G117" s="138"/>
      <c r="H117" s="215"/>
      <c r="I117" s="223">
        <v>1</v>
      </c>
      <c r="J117" s="216">
        <f>I117*C117</f>
        <v>26312</v>
      </c>
    </row>
    <row r="118" spans="3:9" s="177" customFormat="1" ht="13.5" thickBot="1">
      <c r="C118" s="200"/>
      <c r="D118" s="201"/>
      <c r="E118" s="201"/>
      <c r="I118" s="201"/>
    </row>
    <row r="119" spans="1:10" s="177" customFormat="1" ht="13.5" thickTop="1">
      <c r="A119" s="173" t="s">
        <v>2</v>
      </c>
      <c r="C119" s="212">
        <f>+C115+C108+C74+C61+C50+C42+C18</f>
        <v>5174190.77</v>
      </c>
      <c r="D119" s="213"/>
      <c r="E119" s="186">
        <f>E115+E108+E74+E61+E50+E42+E18</f>
        <v>59</v>
      </c>
      <c r="H119" s="212">
        <f>SUM(H8:H118)</f>
        <v>3577310.08</v>
      </c>
      <c r="I119" s="186">
        <f>I115+I108+I74+I61+I50+I42+I18</f>
        <v>58</v>
      </c>
      <c r="J119" s="212">
        <f>SUBTOTAL(9,J7:J118)</f>
        <v>3572617</v>
      </c>
    </row>
    <row r="121" ht="12.75">
      <c r="J121" s="218"/>
    </row>
  </sheetData>
  <printOptions/>
  <pageMargins left="0.45" right="0.41" top="0.56" bottom="0.79" header="0.5" footer="0.42"/>
  <pageSetup fitToHeight="3" horizontalDpi="1200" verticalDpi="1200" orientation="landscape" scale="70" r:id="rId1"/>
  <headerFooter alignWithMargins="0">
    <oddHeader>&amp;R&amp;T &amp;D</oddHeader>
    <oddFooter>&amp;CPage &amp;P</oddFooter>
  </headerFooter>
  <rowBreaks count="2" manualBreakCount="2">
    <brk id="42" max="11" man="1"/>
    <brk id="75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5"/>
  <sheetViews>
    <sheetView workbookViewId="0" topLeftCell="A24">
      <selection activeCell="B6" sqref="B6"/>
    </sheetView>
  </sheetViews>
  <sheetFormatPr defaultColWidth="9.140625" defaultRowHeight="12.75"/>
  <cols>
    <col min="1" max="1" width="13.7109375" style="0" customWidth="1"/>
    <col min="2" max="2" width="38.8515625" style="0" customWidth="1"/>
    <col min="3" max="3" width="14.00390625" style="0" bestFit="1" customWidth="1"/>
    <col min="4" max="4" width="14.140625" style="2" bestFit="1" customWidth="1"/>
    <col min="5" max="5" width="12.421875" style="0" bestFit="1" customWidth="1"/>
    <col min="6" max="6" width="15.421875" style="0" bestFit="1" customWidth="1"/>
    <col min="7" max="7" width="12.421875" style="0" bestFit="1" customWidth="1"/>
    <col min="8" max="8" width="11.421875" style="0" bestFit="1" customWidth="1"/>
    <col min="9" max="9" width="11.140625" style="0" customWidth="1"/>
    <col min="10" max="10" width="14.57421875" style="0" bestFit="1" customWidth="1"/>
  </cols>
  <sheetData>
    <row r="2" ht="12.75">
      <c r="C2" s="2"/>
    </row>
    <row r="3" ht="12.75">
      <c r="C3" s="2"/>
    </row>
    <row r="4" spans="2:4" s="278" customFormat="1" ht="18">
      <c r="B4" s="278" t="s">
        <v>556</v>
      </c>
      <c r="C4" s="279"/>
      <c r="D4" s="279"/>
    </row>
    <row r="5" spans="3:4" s="3" customFormat="1" ht="12.75">
      <c r="C5" s="7"/>
      <c r="D5" s="7"/>
    </row>
    <row r="6" spans="1:6" ht="12.75">
      <c r="A6" s="12" t="s">
        <v>526</v>
      </c>
      <c r="B6" s="3"/>
      <c r="C6" s="7"/>
      <c r="F6" s="3" t="s">
        <v>525</v>
      </c>
    </row>
    <row r="7" spans="2:3" ht="12.75">
      <c r="B7" s="3" t="s">
        <v>527</v>
      </c>
      <c r="C7" s="7"/>
    </row>
    <row r="8" spans="1:6" ht="12.75">
      <c r="A8" s="12">
        <f>'Captured Pool'!C15+'Captured Pool'!C30+'Captured Pool'!C38+'Captured Pool'!C45+'Captured Pool'!C54+'Captured Pool'!C77+'Captured Pool'!C84+'Captured Pool'!C87</f>
        <v>59</v>
      </c>
      <c r="B8" s="10" t="s">
        <v>153</v>
      </c>
      <c r="C8" s="54">
        <f>-('Ag'!D37+'A&amp;S'!D44+COB!D31+'Ed'!D34+Engrg!D34+'HS'!D46+Law!D30+Other!C25)</f>
        <v>-3577310.08</v>
      </c>
      <c r="F8" t="s">
        <v>514</v>
      </c>
    </row>
    <row r="9" spans="2:6" ht="12.75">
      <c r="B9" s="10" t="s">
        <v>532</v>
      </c>
      <c r="C9" s="54">
        <f>-('A&amp;S'!C18+'Ed'!C14)</f>
        <v>-25000</v>
      </c>
      <c r="F9" t="s">
        <v>534</v>
      </c>
    </row>
    <row r="10" spans="2:4" ht="12.75">
      <c r="B10" s="3" t="s">
        <v>155</v>
      </c>
      <c r="D10" s="7">
        <f>SUM(C8:C9)</f>
        <v>-3602310.08</v>
      </c>
    </row>
    <row r="11" spans="3:4" s="3" customFormat="1" ht="12.75">
      <c r="C11" s="7"/>
      <c r="D11" s="7"/>
    </row>
    <row r="12" spans="2:3" ht="12.75">
      <c r="B12" s="3" t="s">
        <v>528</v>
      </c>
      <c r="C12" s="83"/>
    </row>
    <row r="13" spans="1:4" ht="12.75">
      <c r="A13" s="56">
        <f>'Ag'!A18</f>
        <v>6.75</v>
      </c>
      <c r="B13" t="s">
        <v>7</v>
      </c>
      <c r="C13" s="2">
        <f>'Ag'!D33</f>
        <v>348469</v>
      </c>
      <c r="D13" s="83"/>
    </row>
    <row r="14" spans="1:6" ht="12.75">
      <c r="A14" s="56">
        <f>'A&amp;S'!A27</f>
        <v>14.25</v>
      </c>
      <c r="B14" t="s">
        <v>108</v>
      </c>
      <c r="C14" s="2">
        <f>'A&amp;S'!D40</f>
        <v>647378</v>
      </c>
      <c r="D14" s="83"/>
      <c r="F14" t="s">
        <v>533</v>
      </c>
    </row>
    <row r="15" spans="1:4" ht="12.75">
      <c r="A15" s="56">
        <f>COB!A15</f>
        <v>4</v>
      </c>
      <c r="B15" t="s">
        <v>6</v>
      </c>
      <c r="C15" s="2">
        <f>COB!D27</f>
        <v>341004</v>
      </c>
      <c r="D15" s="83"/>
    </row>
    <row r="16" spans="1:6" ht="12.75">
      <c r="A16" s="56">
        <f>'Ed'!A18</f>
        <v>5</v>
      </c>
      <c r="B16" t="s">
        <v>8</v>
      </c>
      <c r="C16" s="2">
        <f>'Ed'!D30</f>
        <v>277576</v>
      </c>
      <c r="D16" s="83"/>
      <c r="F16" t="s">
        <v>533</v>
      </c>
    </row>
    <row r="17" spans="1:6" ht="12.75">
      <c r="A17" s="56">
        <f>Engrg!A18</f>
        <v>5</v>
      </c>
      <c r="B17" t="s">
        <v>4</v>
      </c>
      <c r="C17" s="2">
        <f>Engrg!D30</f>
        <v>361884</v>
      </c>
      <c r="D17" s="83"/>
      <c r="F17" t="s">
        <v>524</v>
      </c>
    </row>
    <row r="18" spans="1:4" ht="12.75">
      <c r="A18" s="56">
        <f>'HS'!A30</f>
        <v>19</v>
      </c>
      <c r="B18" t="s">
        <v>9</v>
      </c>
      <c r="C18" s="2">
        <f>'HS'!D42</f>
        <v>1266486</v>
      </c>
      <c r="D18" s="83"/>
    </row>
    <row r="19" spans="1:4" ht="12.75">
      <c r="A19" s="56">
        <f>Law!A15</f>
        <v>4</v>
      </c>
      <c r="B19" t="s">
        <v>10</v>
      </c>
      <c r="C19" s="2">
        <f>Law!D26</f>
        <v>303508</v>
      </c>
      <c r="D19" s="83"/>
    </row>
    <row r="20" spans="1:4" ht="12.75">
      <c r="A20" s="56">
        <f>Other!A8</f>
        <v>0</v>
      </c>
      <c r="B20" t="s">
        <v>517</v>
      </c>
      <c r="C20" s="110">
        <f>Other!C21</f>
        <v>56005</v>
      </c>
      <c r="D20" s="84"/>
    </row>
    <row r="21" spans="1:6" ht="13.5" thickBot="1">
      <c r="A21" s="12">
        <f>SUM(A13:A20)</f>
        <v>58</v>
      </c>
      <c r="B21" s="3" t="s">
        <v>516</v>
      </c>
      <c r="D21" s="275">
        <f>SUBTOTAL(9,C13:C20)</f>
        <v>3602310</v>
      </c>
      <c r="F21" s="273">
        <f>-D21/D10</f>
        <v>0.9999999777920283</v>
      </c>
    </row>
    <row r="22" spans="2:3" ht="13.5" thickTop="1">
      <c r="B22" s="3"/>
      <c r="C22" s="7"/>
    </row>
    <row r="23" ht="12.75">
      <c r="D23" s="84"/>
    </row>
    <row r="24" spans="2:6" s="3" customFormat="1" ht="12.75">
      <c r="B24" s="3" t="s">
        <v>529</v>
      </c>
      <c r="D24" s="7">
        <f>D10+D21</f>
        <v>-0.0800000000745058</v>
      </c>
      <c r="F24" s="274">
        <f>D24/D10</f>
        <v>2.2207971634275804E-08</v>
      </c>
    </row>
    <row r="25" spans="3:4" s="3" customFormat="1" ht="12.75">
      <c r="C25" s="7"/>
      <c r="D25" s="7"/>
    </row>
    <row r="26" spans="3:4" s="3" customFormat="1" ht="12.75">
      <c r="C26" s="7"/>
      <c r="D26" s="7"/>
    </row>
    <row r="27" spans="3:4" s="3" customFormat="1" ht="12.75">
      <c r="C27" s="7"/>
      <c r="D27" s="7"/>
    </row>
    <row r="28" spans="3:4" s="3" customFormat="1" ht="12.75">
      <c r="C28" s="7"/>
      <c r="D28" s="7"/>
    </row>
    <row r="29" spans="3:4" s="3" customFormat="1" ht="12.75">
      <c r="C29" s="7"/>
      <c r="D29" s="7"/>
    </row>
    <row r="30" spans="2:4" s="3" customFormat="1" ht="12.75">
      <c r="B30" s="3" t="s">
        <v>530</v>
      </c>
      <c r="C30" s="7"/>
      <c r="D30" s="7"/>
    </row>
    <row r="31" spans="3:4" s="3" customFormat="1" ht="12.75">
      <c r="C31" s="7"/>
      <c r="D31" s="7"/>
    </row>
    <row r="32" spans="2:5" ht="12.75">
      <c r="B32" s="3" t="s">
        <v>519</v>
      </c>
      <c r="D32" s="218">
        <f>'Ag'!D18+'A&amp;S'!D27+COB!D15+'Ed'!D18+Engrg!D18+'HS'!D30+Law!D15+Other!C8</f>
        <v>3652210</v>
      </c>
      <c r="E32" s="10"/>
    </row>
    <row r="34" ht="12.75">
      <c r="B34" s="3" t="s">
        <v>168</v>
      </c>
    </row>
    <row r="35" spans="2:3" ht="12.75">
      <c r="B35" t="s">
        <v>50</v>
      </c>
      <c r="C35" s="2">
        <f>'Ag'!C22+'A&amp;S'!C33+COB!C20+'Ed'!C23+Engrg!C23+'HS'!C35+Law!C19</f>
        <v>0</v>
      </c>
    </row>
    <row r="36" spans="2:3" ht="12.75">
      <c r="B36" t="s">
        <v>3</v>
      </c>
      <c r="C36" s="2">
        <f>'Ag'!C23+'A&amp;S'!C34+COB!C21+'Ed'!C24+Engrg!C24+'HS'!C36+Law!C20</f>
        <v>0</v>
      </c>
    </row>
    <row r="37" spans="2:6" ht="12.75">
      <c r="B37" t="s">
        <v>167</v>
      </c>
      <c r="C37" s="2">
        <f>'Ag'!C24+'A&amp;S'!C35+COB!C22+'Ed'!C25+Engrg!C25+'HS'!C37+Law!C21+Other!C12</f>
        <v>73851</v>
      </c>
      <c r="F37" t="s">
        <v>521</v>
      </c>
    </row>
    <row r="38" spans="2:6" ht="12.75">
      <c r="B38" t="s">
        <v>136</v>
      </c>
      <c r="C38" s="2">
        <f>'Ag'!C26+'A&amp;S'!C36+COB!C24+'Ed'!C27+Engrg!C27+'HS'!C39+Law!C23</f>
        <v>-15000</v>
      </c>
      <c r="F38" t="s">
        <v>537</v>
      </c>
    </row>
    <row r="39" spans="2:6" ht="12.75">
      <c r="B39" t="s">
        <v>414</v>
      </c>
      <c r="C39" s="110">
        <f>'Ag'!C25+'A&amp;S'!C37+COB!C23+'Ed'!C26+Engrg!C26+'HS'!C38+Law!C22</f>
        <v>-138444</v>
      </c>
      <c r="F39" t="s">
        <v>522</v>
      </c>
    </row>
    <row r="40" spans="2:7" s="3" customFormat="1" ht="12.75">
      <c r="B40" s="3" t="s">
        <v>476</v>
      </c>
      <c r="D40" s="7">
        <f>SUM(C35:C39)</f>
        <v>-79593</v>
      </c>
      <c r="F40" s="10" t="s">
        <v>518</v>
      </c>
      <c r="G40" s="219">
        <f>'Ag'!D29+'A&amp;S'!D38+COB!D25+'Ed'!D28+Engrg!D28+'HS'!D40+Law!C24+Other!C12</f>
        <v>-79593</v>
      </c>
    </row>
    <row r="41" ht="12.75">
      <c r="F41" s="112"/>
    </row>
    <row r="42" spans="2:4" ht="12.75">
      <c r="B42" s="3" t="s">
        <v>515</v>
      </c>
      <c r="D42" s="7">
        <f>Other!C19</f>
        <v>2789</v>
      </c>
    </row>
    <row r="43" spans="2:6" ht="13.5" thickBot="1">
      <c r="B43" s="3" t="s">
        <v>154</v>
      </c>
      <c r="D43" s="275">
        <f>Other!C17</f>
        <v>26904</v>
      </c>
      <c r="F43" t="s">
        <v>523</v>
      </c>
    </row>
    <row r="44" ht="13.5" thickTop="1"/>
    <row r="45" spans="2:6" s="3" customFormat="1" ht="12.75">
      <c r="B45" s="3" t="s">
        <v>516</v>
      </c>
      <c r="D45" s="7">
        <f>SUM(D32:D44)</f>
        <v>3602310</v>
      </c>
      <c r="F45" s="218"/>
    </row>
  </sheetData>
  <printOptions/>
  <pageMargins left="0.75" right="0.75" top="1" bottom="1" header="0.5" footer="0.5"/>
  <pageSetup fitToHeight="1" fitToWidth="1" horizontalDpi="600" verticalDpi="600" orientation="portrait" scale="68" r:id="rId1"/>
  <headerFooter alignWithMargins="0">
    <oddFooter>&amp;C&amp;T  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51"/>
  <sheetViews>
    <sheetView workbookViewId="0" topLeftCell="A1">
      <selection activeCell="E47" sqref="E47"/>
    </sheetView>
  </sheetViews>
  <sheetFormatPr defaultColWidth="9.140625" defaultRowHeight="12.75"/>
  <cols>
    <col min="2" max="2" width="18.7109375" style="11" customWidth="1"/>
    <col min="3" max="3" width="12.57421875" style="2" customWidth="1"/>
    <col min="4" max="4" width="16.57421875" style="2" customWidth="1"/>
    <col min="5" max="5" width="62.140625" style="0" customWidth="1"/>
  </cols>
  <sheetData>
    <row r="3" spans="2:5" s="43" customFormat="1" ht="15.75">
      <c r="B3" s="123" t="s">
        <v>34</v>
      </c>
      <c r="C3" s="291"/>
      <c r="D3" s="291"/>
      <c r="E3" s="41"/>
    </row>
    <row r="4" spans="2:5" ht="12.75">
      <c r="B4" s="93"/>
      <c r="C4" s="84"/>
      <c r="D4" s="84"/>
      <c r="E4" s="79"/>
    </row>
    <row r="5" spans="2:5" ht="12.75">
      <c r="B5" s="92"/>
      <c r="C5" s="84"/>
      <c r="D5" s="84"/>
      <c r="E5" s="79"/>
    </row>
    <row r="6" spans="2:5" s="3" customFormat="1" ht="12.75">
      <c r="B6" s="91" t="s">
        <v>125</v>
      </c>
      <c r="C6" s="78"/>
      <c r="D6" s="78"/>
      <c r="E6" s="77"/>
    </row>
    <row r="7" spans="2:5" ht="12.75">
      <c r="B7" s="92"/>
      <c r="C7" s="84"/>
      <c r="D7" s="84"/>
      <c r="E7" s="79"/>
    </row>
    <row r="8" spans="2:5" s="3" customFormat="1" ht="12.75">
      <c r="B8" s="91" t="s">
        <v>16</v>
      </c>
      <c r="C8" s="85" t="s">
        <v>22</v>
      </c>
      <c r="D8" s="90" t="s">
        <v>63</v>
      </c>
      <c r="E8" s="77" t="s">
        <v>126</v>
      </c>
    </row>
    <row r="9" spans="2:5" s="10" customFormat="1" ht="12.75">
      <c r="B9" s="93" t="s">
        <v>454</v>
      </c>
      <c r="C9" s="142">
        <v>15000</v>
      </c>
      <c r="D9" s="143"/>
      <c r="E9" s="87" t="s">
        <v>453</v>
      </c>
    </row>
    <row r="10" spans="2:5" ht="12.75">
      <c r="B10" s="92" t="s">
        <v>121</v>
      </c>
      <c r="C10" s="84">
        <v>43948</v>
      </c>
      <c r="D10" s="86" t="s">
        <v>175</v>
      </c>
      <c r="E10" s="79" t="s">
        <v>188</v>
      </c>
    </row>
    <row r="11" spans="2:5" s="10" customFormat="1" ht="12.75">
      <c r="B11" s="93" t="s">
        <v>121</v>
      </c>
      <c r="C11" s="88">
        <v>41822</v>
      </c>
      <c r="D11" s="88" t="s">
        <v>230</v>
      </c>
      <c r="E11" s="138" t="s">
        <v>258</v>
      </c>
    </row>
    <row r="12" spans="2:5" s="10" customFormat="1" ht="12.75">
      <c r="B12" s="93" t="s">
        <v>121</v>
      </c>
      <c r="C12" s="88">
        <v>42420</v>
      </c>
      <c r="D12" s="88" t="s">
        <v>123</v>
      </c>
      <c r="E12" s="138" t="s">
        <v>561</v>
      </c>
    </row>
    <row r="13" spans="2:5" s="10" customFormat="1" ht="12.75">
      <c r="B13" s="93" t="s">
        <v>256</v>
      </c>
      <c r="C13" s="88">
        <v>31154</v>
      </c>
      <c r="D13" s="88" t="s">
        <v>257</v>
      </c>
      <c r="E13" s="138" t="s">
        <v>478</v>
      </c>
    </row>
    <row r="14" spans="2:5" s="10" customFormat="1" ht="12.75">
      <c r="B14" s="93" t="s">
        <v>256</v>
      </c>
      <c r="C14" s="88">
        <f>Requests!C13</f>
        <v>53845</v>
      </c>
      <c r="D14" s="88" t="s">
        <v>123</v>
      </c>
      <c r="E14" s="138" t="s">
        <v>562</v>
      </c>
    </row>
    <row r="15" spans="2:5" s="10" customFormat="1" ht="12.75">
      <c r="B15" s="93" t="s">
        <v>372</v>
      </c>
      <c r="C15" s="88">
        <f>Requests!C14</f>
        <v>44500</v>
      </c>
      <c r="D15" s="88" t="s">
        <v>123</v>
      </c>
      <c r="E15" s="138" t="s">
        <v>452</v>
      </c>
    </row>
    <row r="16" spans="2:5" s="10" customFormat="1" ht="12.75">
      <c r="B16" s="93" t="s">
        <v>507</v>
      </c>
      <c r="C16" s="88">
        <f>Requests!C15</f>
        <v>55180</v>
      </c>
      <c r="D16" s="88" t="s">
        <v>123</v>
      </c>
      <c r="E16" s="138" t="s">
        <v>563</v>
      </c>
    </row>
    <row r="17" spans="2:5" ht="12.75">
      <c r="B17" s="93"/>
      <c r="C17" s="89"/>
      <c r="D17" s="86"/>
      <c r="E17" s="79"/>
    </row>
    <row r="18" spans="1:5" ht="12.75">
      <c r="A18" s="146">
        <f>COUNT(C10:C17)-0.25</f>
        <v>6.75</v>
      </c>
      <c r="B18" s="91" t="s">
        <v>128</v>
      </c>
      <c r="C18" s="84"/>
      <c r="D18" s="78">
        <f>SUM(C9:C17)</f>
        <v>327869</v>
      </c>
      <c r="E18" s="79"/>
    </row>
    <row r="19" spans="2:5" ht="12.75">
      <c r="B19" s="92"/>
      <c r="C19" s="84"/>
      <c r="D19" s="84"/>
      <c r="E19" s="79"/>
    </row>
    <row r="20" spans="2:5" s="3" customFormat="1" ht="12.75">
      <c r="B20" s="91" t="s">
        <v>127</v>
      </c>
      <c r="C20" s="78"/>
      <c r="D20" s="78"/>
      <c r="E20" s="77"/>
    </row>
    <row r="21" spans="2:5" s="3" customFormat="1" ht="12.75">
      <c r="B21" s="91"/>
      <c r="C21" s="78"/>
      <c r="D21" s="78"/>
      <c r="E21" s="77"/>
    </row>
    <row r="22" spans="2:5" ht="12.75">
      <c r="B22" s="92" t="s">
        <v>50</v>
      </c>
      <c r="C22" s="5">
        <f>Promotions!H9</f>
        <v>0</v>
      </c>
      <c r="D22" s="84"/>
      <c r="E22" s="79"/>
    </row>
    <row r="23" spans="2:5" ht="12.75">
      <c r="B23" s="92" t="s">
        <v>3</v>
      </c>
      <c r="C23" s="5">
        <f>'Salary Adjustments'!H6</f>
        <v>0</v>
      </c>
      <c r="D23" s="84"/>
      <c r="E23" s="79"/>
    </row>
    <row r="24" spans="2:5" ht="12.75">
      <c r="B24" s="11" t="s">
        <v>455</v>
      </c>
      <c r="C24" s="2">
        <f>B49</f>
        <v>35600</v>
      </c>
      <c r="E24" t="s">
        <v>423</v>
      </c>
    </row>
    <row r="25" spans="2:3" ht="12.75">
      <c r="B25" s="11" t="s">
        <v>414</v>
      </c>
      <c r="C25" s="2">
        <v>0</v>
      </c>
    </row>
    <row r="26" spans="2:5" ht="12.75">
      <c r="B26" s="92" t="s">
        <v>456</v>
      </c>
      <c r="C26" s="84">
        <f>Recalls!E7</f>
        <v>-15000</v>
      </c>
      <c r="D26" s="84"/>
      <c r="E26" s="79" t="s">
        <v>200</v>
      </c>
    </row>
    <row r="27" spans="2:5" ht="12.75">
      <c r="B27" s="92"/>
      <c r="C27" s="84"/>
      <c r="D27" s="84"/>
      <c r="E27" s="79"/>
    </row>
    <row r="28" spans="2:5" ht="12.75">
      <c r="B28" s="92"/>
      <c r="C28" s="5"/>
      <c r="D28" s="84"/>
      <c r="E28" s="79"/>
    </row>
    <row r="29" spans="2:5" s="3" customFormat="1" ht="12.75">
      <c r="B29" s="91" t="s">
        <v>2</v>
      </c>
      <c r="C29" s="78"/>
      <c r="D29" s="78">
        <f>SUM(C22:C28)</f>
        <v>20600</v>
      </c>
      <c r="E29" s="77"/>
    </row>
    <row r="30" spans="2:5" s="3" customFormat="1" ht="12.75">
      <c r="B30" s="91"/>
      <c r="C30" s="78"/>
      <c r="D30" s="78"/>
      <c r="E30" s="77"/>
    </row>
    <row r="32" spans="2:5" ht="12.75">
      <c r="B32" s="92"/>
      <c r="C32" s="84"/>
      <c r="D32" s="84"/>
      <c r="E32" s="79"/>
    </row>
    <row r="33" spans="2:5" ht="12.75">
      <c r="B33" s="91" t="s">
        <v>130</v>
      </c>
      <c r="C33" s="84"/>
      <c r="D33" s="78">
        <f>SUM(D10:D32)</f>
        <v>348469</v>
      </c>
      <c r="E33" s="79"/>
    </row>
    <row r="34" spans="2:5" ht="12.75">
      <c r="B34" s="91"/>
      <c r="C34" s="84"/>
      <c r="D34" s="78"/>
      <c r="E34" s="79"/>
    </row>
    <row r="35" spans="2:5" s="3" customFormat="1" ht="12.75">
      <c r="B35" s="91" t="s">
        <v>149</v>
      </c>
      <c r="C35" s="78"/>
      <c r="D35" s="78">
        <f>'Captured Pool'!K15</f>
        <v>0</v>
      </c>
      <c r="E35" s="77"/>
    </row>
    <row r="36" spans="2:5" ht="12.75">
      <c r="B36" s="92"/>
      <c r="C36" s="84"/>
      <c r="D36" s="84"/>
      <c r="E36" s="79"/>
    </row>
    <row r="37" spans="2:5" ht="12.75">
      <c r="B37" s="91" t="s">
        <v>131</v>
      </c>
      <c r="C37" s="84"/>
      <c r="D37" s="78">
        <f>'Captured Pool'!J15</f>
        <v>357544.07999999996</v>
      </c>
      <c r="E37" s="79" t="s">
        <v>538</v>
      </c>
    </row>
    <row r="38" spans="2:5" ht="12.75">
      <c r="B38" s="92"/>
      <c r="C38" s="84"/>
      <c r="D38" s="84"/>
      <c r="E38" s="79"/>
    </row>
    <row r="39" spans="1:5" ht="12.75">
      <c r="A39" s="112" t="s">
        <v>418</v>
      </c>
      <c r="B39" s="92" t="s">
        <v>564</v>
      </c>
      <c r="C39" s="84"/>
      <c r="D39" s="84"/>
      <c r="E39" s="79"/>
    </row>
    <row r="41" spans="1:2" ht="12.75">
      <c r="A41" s="112" t="s">
        <v>248</v>
      </c>
      <c r="B41" s="11" t="s">
        <v>419</v>
      </c>
    </row>
    <row r="43" spans="1:2" ht="12.75">
      <c r="A43" s="112" t="s">
        <v>457</v>
      </c>
      <c r="B43" s="11" t="s">
        <v>420</v>
      </c>
    </row>
    <row r="44" spans="2:3" ht="12.75">
      <c r="B44" s="160">
        <v>8000</v>
      </c>
      <c r="C44" s="83" t="s">
        <v>559</v>
      </c>
    </row>
    <row r="45" spans="2:3" ht="12.75">
      <c r="B45" s="164">
        <v>12000</v>
      </c>
      <c r="C45" s="83" t="s">
        <v>421</v>
      </c>
    </row>
    <row r="46" spans="2:3" ht="12.75">
      <c r="B46" s="163">
        <f>SUM(B44:B45)</f>
        <v>20000</v>
      </c>
      <c r="C46" s="83" t="s">
        <v>416</v>
      </c>
    </row>
    <row r="47" spans="2:3" ht="12.75">
      <c r="B47" s="160">
        <v>8000</v>
      </c>
      <c r="C47" s="83" t="s">
        <v>558</v>
      </c>
    </row>
    <row r="48" spans="2:3" ht="13.5" thickBot="1">
      <c r="B48" s="165">
        <v>7600</v>
      </c>
      <c r="C48" s="83" t="s">
        <v>422</v>
      </c>
    </row>
    <row r="49" spans="2:3" ht="13.5" thickTop="1">
      <c r="B49" s="162">
        <f>SUM(B46:B48)</f>
        <v>35600</v>
      </c>
      <c r="C49" s="83" t="s">
        <v>417</v>
      </c>
    </row>
    <row r="50" ht="12.75">
      <c r="B50" s="160"/>
    </row>
    <row r="51" ht="12.75">
      <c r="B51" s="160"/>
    </row>
  </sheetData>
  <printOptions/>
  <pageMargins left="0.75" right="0.75" top="1" bottom="1" header="0.5" footer="0.5"/>
  <pageSetup fitToHeight="1" fitToWidth="1" horizontalDpi="600" verticalDpi="600" orientation="portrait" scale="76" r:id="rId1"/>
  <headerFooter alignWithMargins="0">
    <oddFooter>&amp;C&amp;T  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5"/>
  <sheetViews>
    <sheetView workbookViewId="0" topLeftCell="A1">
      <selection activeCell="K26" sqref="K26"/>
    </sheetView>
  </sheetViews>
  <sheetFormatPr defaultColWidth="9.140625" defaultRowHeight="12.75"/>
  <cols>
    <col min="2" max="2" width="18.7109375" style="99" customWidth="1"/>
    <col min="3" max="3" width="12.7109375" style="2" customWidth="1"/>
    <col min="4" max="4" width="13.140625" style="0" customWidth="1"/>
  </cols>
  <sheetData>
    <row r="2" ht="12.75">
      <c r="B2" s="95"/>
    </row>
    <row r="3" spans="2:9" s="43" customFormat="1" ht="15.75">
      <c r="B3" s="292" t="s">
        <v>134</v>
      </c>
      <c r="C3" s="41"/>
      <c r="D3" s="41"/>
      <c r="E3" s="41"/>
      <c r="F3" s="41"/>
      <c r="G3" s="41"/>
      <c r="H3" s="41"/>
      <c r="I3" s="41"/>
    </row>
    <row r="4" spans="2:9" ht="12.75">
      <c r="B4" s="93" t="s">
        <v>493</v>
      </c>
      <c r="C4" s="79"/>
      <c r="D4" s="79"/>
      <c r="E4" s="79"/>
      <c r="F4" s="79"/>
      <c r="G4" s="79"/>
      <c r="H4" s="79"/>
      <c r="I4" s="79"/>
    </row>
    <row r="5" spans="2:9" ht="12.75">
      <c r="B5" s="94"/>
      <c r="C5" s="79"/>
      <c r="D5" s="79"/>
      <c r="E5" s="79"/>
      <c r="F5" s="79"/>
      <c r="G5" s="79"/>
      <c r="H5" s="79"/>
      <c r="I5" s="79"/>
    </row>
    <row r="6" spans="2:9" ht="12.75">
      <c r="B6" s="96" t="s">
        <v>125</v>
      </c>
      <c r="C6" s="78"/>
      <c r="D6" s="78"/>
      <c r="E6" s="77"/>
      <c r="F6" s="79"/>
      <c r="G6" s="79"/>
      <c r="H6" s="79"/>
      <c r="I6" s="79"/>
    </row>
    <row r="7" spans="2:9" ht="12.75">
      <c r="B7" s="94"/>
      <c r="C7" s="84"/>
      <c r="D7" s="84"/>
      <c r="E7" s="79"/>
      <c r="F7" s="79"/>
      <c r="G7" s="79"/>
      <c r="H7" s="79"/>
      <c r="I7" s="79"/>
    </row>
    <row r="8" spans="2:9" ht="12.75">
      <c r="B8" s="96" t="s">
        <v>16</v>
      </c>
      <c r="C8" s="85" t="s">
        <v>22</v>
      </c>
      <c r="D8" s="76" t="s">
        <v>63</v>
      </c>
      <c r="E8" s="77" t="s">
        <v>126</v>
      </c>
      <c r="F8" s="79"/>
      <c r="G8" s="79"/>
      <c r="H8" s="79"/>
      <c r="I8" s="79"/>
    </row>
    <row r="9" spans="2:9" ht="12.75">
      <c r="B9" s="94" t="s">
        <v>207</v>
      </c>
      <c r="C9" s="6">
        <v>65004</v>
      </c>
      <c r="D9" s="86" t="s">
        <v>208</v>
      </c>
      <c r="E9" s="79" t="s">
        <v>271</v>
      </c>
      <c r="F9" s="79"/>
      <c r="G9" s="79"/>
      <c r="H9" s="79"/>
      <c r="I9" s="79"/>
    </row>
    <row r="10" spans="2:9" ht="12.75">
      <c r="B10" s="139" t="s">
        <v>181</v>
      </c>
      <c r="C10" s="6">
        <v>15660</v>
      </c>
      <c r="D10" s="86" t="s">
        <v>208</v>
      </c>
      <c r="E10" s="79" t="s">
        <v>229</v>
      </c>
      <c r="F10" s="79"/>
      <c r="G10" s="79"/>
      <c r="H10" s="79"/>
      <c r="I10" s="79"/>
    </row>
    <row r="11" spans="2:9" ht="12.75">
      <c r="B11" s="139" t="s">
        <v>238</v>
      </c>
      <c r="C11" s="6">
        <v>55008</v>
      </c>
      <c r="D11" s="86" t="s">
        <v>123</v>
      </c>
      <c r="E11" s="138" t="s">
        <v>482</v>
      </c>
      <c r="F11" s="79"/>
      <c r="G11" s="79"/>
      <c r="H11" s="79"/>
      <c r="I11" s="79"/>
    </row>
    <row r="12" spans="2:9" ht="12.75">
      <c r="B12" s="139" t="s">
        <v>288</v>
      </c>
      <c r="C12" s="6">
        <v>45684</v>
      </c>
      <c r="D12" s="86" t="s">
        <v>124</v>
      </c>
      <c r="E12" s="138" t="s">
        <v>560</v>
      </c>
      <c r="F12" s="79"/>
      <c r="G12" s="79"/>
      <c r="H12" s="79"/>
      <c r="I12" s="79"/>
    </row>
    <row r="13" spans="2:9" ht="12.75">
      <c r="B13" s="139" t="s">
        <v>282</v>
      </c>
      <c r="C13" s="6">
        <f>Requests!C25</f>
        <v>48384</v>
      </c>
      <c r="D13" s="86" t="s">
        <v>123</v>
      </c>
      <c r="E13" s="138"/>
      <c r="F13" s="79"/>
      <c r="G13" s="79"/>
      <c r="H13" s="79"/>
      <c r="I13" s="79"/>
    </row>
    <row r="14" spans="2:9" ht="12.75">
      <c r="B14" s="139" t="s">
        <v>283</v>
      </c>
      <c r="C14" s="6">
        <f>Requests!C26</f>
        <v>45204</v>
      </c>
      <c r="D14" s="86" t="s">
        <v>123</v>
      </c>
      <c r="E14" s="138" t="s">
        <v>458</v>
      </c>
      <c r="F14" s="79"/>
      <c r="G14" s="79"/>
      <c r="H14" s="79"/>
      <c r="I14" s="79"/>
    </row>
    <row r="15" spans="2:9" ht="12.75">
      <c r="B15" s="139" t="s">
        <v>459</v>
      </c>
      <c r="C15" s="6">
        <f>Requests!C27</f>
        <v>49800</v>
      </c>
      <c r="D15" s="86" t="s">
        <v>123</v>
      </c>
      <c r="E15" s="138" t="s">
        <v>458</v>
      </c>
      <c r="F15" s="79"/>
      <c r="G15" s="79"/>
      <c r="H15" s="79"/>
      <c r="I15" s="79"/>
    </row>
    <row r="16" spans="2:9" ht="12.75">
      <c r="B16" s="139" t="s">
        <v>181</v>
      </c>
      <c r="C16" s="6">
        <f>Requests!C28</f>
        <v>52668</v>
      </c>
      <c r="D16" s="86" t="s">
        <v>123</v>
      </c>
      <c r="E16" s="138" t="s">
        <v>479</v>
      </c>
      <c r="F16" s="79"/>
      <c r="G16" s="79"/>
      <c r="H16" s="79"/>
      <c r="I16" s="79"/>
    </row>
    <row r="17" spans="2:9" ht="12.75">
      <c r="B17" s="139" t="s">
        <v>460</v>
      </c>
      <c r="C17" s="6">
        <f>Requests!C29-C18</f>
        <v>37900</v>
      </c>
      <c r="D17" s="86" t="s">
        <v>123</v>
      </c>
      <c r="E17" s="138" t="s">
        <v>488</v>
      </c>
      <c r="F17" s="79"/>
      <c r="G17" s="79"/>
      <c r="H17" s="79"/>
      <c r="I17" s="79"/>
    </row>
    <row r="18" spans="2:9" ht="12.75">
      <c r="B18" s="139" t="s">
        <v>460</v>
      </c>
      <c r="C18" s="6">
        <v>12500</v>
      </c>
      <c r="D18" s="86"/>
      <c r="E18" s="138" t="s">
        <v>531</v>
      </c>
      <c r="F18" s="79"/>
      <c r="G18" s="79"/>
      <c r="H18" s="79"/>
      <c r="I18" s="79"/>
    </row>
    <row r="19" spans="2:9" ht="12.75">
      <c r="B19" s="139" t="s">
        <v>211</v>
      </c>
      <c r="C19" s="6">
        <f>Requests!C30</f>
        <v>44676</v>
      </c>
      <c r="D19" s="86" t="s">
        <v>123</v>
      </c>
      <c r="E19" s="138"/>
      <c r="F19" s="79"/>
      <c r="G19" s="79"/>
      <c r="H19" s="79"/>
      <c r="I19" s="79"/>
    </row>
    <row r="20" spans="2:9" ht="12.75">
      <c r="B20" s="139" t="s">
        <v>462</v>
      </c>
      <c r="C20" s="6">
        <f>Requests!C31</f>
        <v>51060</v>
      </c>
      <c r="D20" s="86" t="s">
        <v>123</v>
      </c>
      <c r="E20" s="138" t="s">
        <v>463</v>
      </c>
      <c r="F20" s="79"/>
      <c r="G20" s="79"/>
      <c r="H20" s="79"/>
      <c r="I20" s="79"/>
    </row>
    <row r="21" spans="2:9" ht="12.75">
      <c r="B21" s="139" t="s">
        <v>287</v>
      </c>
      <c r="C21" s="6">
        <v>42847</v>
      </c>
      <c r="D21" s="86" t="s">
        <v>123</v>
      </c>
      <c r="E21" s="138"/>
      <c r="F21" s="79"/>
      <c r="G21" s="79"/>
      <c r="H21" s="79"/>
      <c r="I21" s="79"/>
    </row>
    <row r="22" spans="2:9" ht="12.75">
      <c r="B22" s="139" t="s">
        <v>464</v>
      </c>
      <c r="C22" s="6">
        <f>Requests!C33</f>
        <v>50000</v>
      </c>
      <c r="D22" s="86" t="s">
        <v>123</v>
      </c>
      <c r="E22" s="138" t="s">
        <v>461</v>
      </c>
      <c r="F22" s="79"/>
      <c r="G22" s="79"/>
      <c r="H22" s="79"/>
      <c r="I22" s="79"/>
    </row>
    <row r="23" spans="2:9" ht="12.75">
      <c r="B23" s="139" t="s">
        <v>288</v>
      </c>
      <c r="C23" s="6">
        <f>Requests!C34</f>
        <v>42491</v>
      </c>
      <c r="D23" s="86" t="s">
        <v>123</v>
      </c>
      <c r="E23" s="138"/>
      <c r="F23" s="79"/>
      <c r="G23" s="79"/>
      <c r="H23" s="79"/>
      <c r="I23" s="79"/>
    </row>
    <row r="24" spans="2:9" ht="12.75">
      <c r="B24" s="139" t="s">
        <v>289</v>
      </c>
      <c r="C24" s="6">
        <f>Requests!C35</f>
        <v>46500</v>
      </c>
      <c r="D24" s="86" t="s">
        <v>123</v>
      </c>
      <c r="E24" s="138" t="s">
        <v>313</v>
      </c>
      <c r="F24" s="79"/>
      <c r="G24" s="79"/>
      <c r="H24" s="79"/>
      <c r="I24" s="79"/>
    </row>
    <row r="25" spans="2:9" ht="12.75">
      <c r="B25" s="139"/>
      <c r="C25" s="6"/>
      <c r="D25" s="86"/>
      <c r="E25" s="138"/>
      <c r="F25" s="79"/>
      <c r="G25" s="79"/>
      <c r="H25" s="79"/>
      <c r="I25" s="79"/>
    </row>
    <row r="26" spans="2:9" ht="12.75">
      <c r="B26" s="4"/>
      <c r="C26" s="5"/>
      <c r="D26" s="86"/>
      <c r="E26" s="107"/>
      <c r="F26" s="79"/>
      <c r="G26" s="79"/>
      <c r="H26" s="79"/>
      <c r="I26" s="79"/>
    </row>
    <row r="27" spans="1:9" ht="12.75">
      <c r="A27" s="146">
        <f>COUNT(C9:C26)-1.75</f>
        <v>14.25</v>
      </c>
      <c r="B27" s="96" t="s">
        <v>128</v>
      </c>
      <c r="C27" s="84"/>
      <c r="D27" s="78">
        <f>SUM(C9:C26)</f>
        <v>705386</v>
      </c>
      <c r="E27" s="79"/>
      <c r="F27" s="79"/>
      <c r="G27" s="79"/>
      <c r="H27" s="79"/>
      <c r="I27" s="79"/>
    </row>
    <row r="28" spans="2:9" ht="12.75">
      <c r="B28" s="94"/>
      <c r="C28" s="84"/>
      <c r="D28" s="84"/>
      <c r="E28" s="79"/>
      <c r="F28" s="79"/>
      <c r="G28" s="79"/>
      <c r="H28" s="79"/>
      <c r="I28" s="79"/>
    </row>
    <row r="29" spans="2:9" ht="12.75">
      <c r="B29" s="94"/>
      <c r="C29" s="84"/>
      <c r="D29" s="84"/>
      <c r="E29" s="79"/>
      <c r="F29" s="79"/>
      <c r="G29" s="79"/>
      <c r="H29" s="79"/>
      <c r="I29" s="79"/>
    </row>
    <row r="30" spans="2:9" ht="12.75">
      <c r="B30" s="94"/>
      <c r="C30" s="84"/>
      <c r="D30" s="84"/>
      <c r="E30" s="79"/>
      <c r="F30" s="79"/>
      <c r="G30" s="79"/>
      <c r="H30" s="79"/>
      <c r="I30" s="79"/>
    </row>
    <row r="31" spans="2:9" ht="12.75">
      <c r="B31" s="96" t="s">
        <v>127</v>
      </c>
      <c r="C31" s="78"/>
      <c r="D31" s="78"/>
      <c r="E31" s="77"/>
      <c r="F31" s="79"/>
      <c r="G31" s="79"/>
      <c r="H31" s="79"/>
      <c r="I31" s="79"/>
    </row>
    <row r="32" spans="2:9" ht="12.75">
      <c r="B32" s="96"/>
      <c r="C32" s="78"/>
      <c r="D32" s="78"/>
      <c r="E32" s="77"/>
      <c r="F32" s="79"/>
      <c r="G32" s="79"/>
      <c r="H32" s="79"/>
      <c r="I32" s="79"/>
    </row>
    <row r="33" spans="2:9" ht="12.75">
      <c r="B33" s="94" t="s">
        <v>50</v>
      </c>
      <c r="C33" s="84">
        <f>Promotions!H7</f>
        <v>0</v>
      </c>
      <c r="D33" s="79"/>
      <c r="E33" s="79"/>
      <c r="F33" s="79"/>
      <c r="G33" s="79"/>
      <c r="H33" s="79"/>
      <c r="I33" s="79"/>
    </row>
    <row r="34" spans="2:9" ht="12.75">
      <c r="B34" s="94" t="s">
        <v>3</v>
      </c>
      <c r="C34" s="84">
        <f>'Salary Adjustments'!H9</f>
        <v>0</v>
      </c>
      <c r="D34" s="84"/>
      <c r="E34" s="79"/>
      <c r="F34" s="79"/>
      <c r="G34" s="79"/>
      <c r="H34" s="79"/>
      <c r="I34" s="79"/>
    </row>
    <row r="35" spans="2:9" ht="12.75">
      <c r="B35" s="139" t="s">
        <v>167</v>
      </c>
      <c r="C35" s="84">
        <v>0</v>
      </c>
      <c r="D35" s="84"/>
      <c r="E35" s="79"/>
      <c r="F35" s="79"/>
      <c r="G35" s="79"/>
      <c r="H35" s="79"/>
      <c r="I35" s="79"/>
    </row>
    <row r="36" spans="2:9" ht="12.75">
      <c r="B36" s="139" t="s">
        <v>136</v>
      </c>
      <c r="C36" s="84">
        <f>Recalls!E10</f>
        <v>0</v>
      </c>
      <c r="D36" s="84"/>
      <c r="E36" s="79"/>
      <c r="F36" s="79"/>
      <c r="G36" s="79"/>
      <c r="H36" s="79"/>
      <c r="I36" s="79"/>
    </row>
    <row r="37" spans="2:9" ht="12.75">
      <c r="B37" s="139" t="s">
        <v>414</v>
      </c>
      <c r="C37" s="84">
        <v>-58008</v>
      </c>
      <c r="D37" s="84"/>
      <c r="E37" s="79" t="s">
        <v>415</v>
      </c>
      <c r="F37" s="79"/>
      <c r="G37" s="79"/>
      <c r="H37" s="79"/>
      <c r="I37" s="79"/>
    </row>
    <row r="38" spans="2:9" ht="12.75">
      <c r="B38" s="96" t="s">
        <v>2</v>
      </c>
      <c r="C38" s="78"/>
      <c r="D38" s="78">
        <f>SUM(C33:C37)</f>
        <v>-58008</v>
      </c>
      <c r="E38" s="77"/>
      <c r="F38" s="79"/>
      <c r="G38" s="79"/>
      <c r="H38" s="79"/>
      <c r="I38" s="79"/>
    </row>
    <row r="39" spans="2:9" ht="12.75">
      <c r="B39" s="94"/>
      <c r="C39" s="84"/>
      <c r="D39" s="84"/>
      <c r="E39" s="79"/>
      <c r="F39" s="79"/>
      <c r="G39" s="79"/>
      <c r="H39" s="79"/>
      <c r="I39" s="79"/>
    </row>
    <row r="40" spans="2:9" ht="12.75">
      <c r="B40" s="96" t="s">
        <v>130</v>
      </c>
      <c r="C40" s="84"/>
      <c r="D40" s="78">
        <f>SUM(D9:D39)</f>
        <v>647378</v>
      </c>
      <c r="E40" s="79"/>
      <c r="F40" s="79"/>
      <c r="G40" s="79"/>
      <c r="H40" s="79"/>
      <c r="I40" s="79"/>
    </row>
    <row r="41" spans="2:9" ht="12.75">
      <c r="B41" s="96"/>
      <c r="C41" s="84"/>
      <c r="D41" s="78"/>
      <c r="E41" s="79"/>
      <c r="F41" s="79"/>
      <c r="G41" s="79"/>
      <c r="H41" s="79"/>
      <c r="I41" s="79"/>
    </row>
    <row r="42" spans="2:9" ht="12.75">
      <c r="B42" s="96" t="s">
        <v>149</v>
      </c>
      <c r="C42" s="78"/>
      <c r="D42" s="78">
        <f>'Captured Pool'!K30</f>
        <v>70287</v>
      </c>
      <c r="E42" s="77"/>
      <c r="F42" s="79"/>
      <c r="G42" s="79"/>
      <c r="H42" s="79"/>
      <c r="I42" s="79"/>
    </row>
    <row r="43" spans="2:9" ht="12.75">
      <c r="B43" s="94"/>
      <c r="C43" s="84"/>
      <c r="D43" s="84"/>
      <c r="E43" s="79"/>
      <c r="F43" s="79"/>
      <c r="G43" s="79"/>
      <c r="H43" s="79"/>
      <c r="I43" s="79"/>
    </row>
    <row r="44" spans="2:9" ht="12.75">
      <c r="B44" s="96" t="s">
        <v>131</v>
      </c>
      <c r="C44" s="84"/>
      <c r="D44" s="82">
        <f>'Captured Pool'!J30</f>
        <v>714766</v>
      </c>
      <c r="E44" s="79"/>
      <c r="F44" s="79"/>
      <c r="G44" s="79"/>
      <c r="H44" s="79"/>
      <c r="I44" s="79"/>
    </row>
    <row r="45" spans="2:9" ht="12.75">
      <c r="B45" s="96"/>
      <c r="C45" s="84"/>
      <c r="D45" s="82"/>
      <c r="E45" s="79"/>
      <c r="F45" s="79"/>
      <c r="G45" s="79"/>
      <c r="H45" s="79"/>
      <c r="I45" s="79"/>
    </row>
    <row r="46" spans="2:9" ht="12.75">
      <c r="B46" s="96"/>
      <c r="C46" s="84"/>
      <c r="D46" s="82"/>
      <c r="E46" s="79"/>
      <c r="F46" s="79"/>
      <c r="G46" s="79"/>
      <c r="H46" s="79"/>
      <c r="I46" s="79"/>
    </row>
    <row r="47" spans="2:9" ht="12.75">
      <c r="B47" s="96"/>
      <c r="C47" s="84"/>
      <c r="D47" s="84"/>
      <c r="E47" s="79"/>
      <c r="F47" s="79"/>
      <c r="G47" s="79"/>
      <c r="H47" s="79"/>
      <c r="I47" s="79"/>
    </row>
    <row r="48" spans="2:9" ht="12.75">
      <c r="B48" s="96"/>
      <c r="C48" s="84"/>
      <c r="D48" s="84"/>
      <c r="E48" s="79"/>
      <c r="F48" s="79"/>
      <c r="G48" s="79"/>
      <c r="H48" s="79"/>
      <c r="I48" s="79"/>
    </row>
    <row r="49" spans="2:3" ht="12.75">
      <c r="B49"/>
      <c r="C49"/>
    </row>
    <row r="50" spans="2:3" ht="12.75">
      <c r="B50"/>
      <c r="C50"/>
    </row>
    <row r="51" spans="2:3" ht="12.75">
      <c r="B51"/>
      <c r="C51"/>
    </row>
    <row r="52" spans="2:3" ht="12.75">
      <c r="B52"/>
      <c r="C52"/>
    </row>
    <row r="53" spans="2:3" ht="12.75">
      <c r="B53" s="98"/>
      <c r="C53"/>
    </row>
    <row r="54" spans="2:3" ht="12.75">
      <c r="B54" s="98"/>
      <c r="C54"/>
    </row>
    <row r="55" spans="2:3" ht="12.75">
      <c r="B55" s="98"/>
      <c r="C55"/>
    </row>
    <row r="56" spans="2:3" ht="12.75">
      <c r="B56" s="98"/>
      <c r="C56"/>
    </row>
    <row r="57" spans="2:3" ht="12.75">
      <c r="B57" s="98"/>
      <c r="C57"/>
    </row>
    <row r="58" spans="2:3" ht="12.75">
      <c r="B58" s="98"/>
      <c r="C58"/>
    </row>
    <row r="59" spans="2:3" ht="12.75">
      <c r="B59" s="98"/>
      <c r="C59"/>
    </row>
    <row r="60" spans="2:3" ht="12.75">
      <c r="B60" s="98"/>
      <c r="C60"/>
    </row>
    <row r="61" spans="2:3" ht="12.75">
      <c r="B61" s="98"/>
      <c r="C61"/>
    </row>
    <row r="62" spans="2:3" ht="12.75">
      <c r="B62" s="98"/>
      <c r="C62"/>
    </row>
    <row r="63" spans="2:3" ht="12.75">
      <c r="B63" s="98"/>
      <c r="C63"/>
    </row>
    <row r="64" spans="2:3" ht="12.75">
      <c r="B64" s="98"/>
      <c r="C64"/>
    </row>
    <row r="65" spans="2:3" ht="12.75">
      <c r="B65" s="98"/>
      <c r="C65"/>
    </row>
  </sheetData>
  <printOptions/>
  <pageMargins left="0.75" right="0.75" top="1" bottom="1" header="0.5" footer="0.5"/>
  <pageSetup fitToHeight="1" fitToWidth="1" horizontalDpi="600" verticalDpi="600" orientation="portrait" scale="91" r:id="rId1"/>
  <headerFooter alignWithMargins="0">
    <oddFooter>&amp;C&amp;T  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6"/>
  <sheetViews>
    <sheetView workbookViewId="0" topLeftCell="A1">
      <selection activeCell="F17" sqref="F17"/>
    </sheetView>
  </sheetViews>
  <sheetFormatPr defaultColWidth="9.140625" defaultRowHeight="12.75"/>
  <cols>
    <col min="2" max="2" width="18.00390625" style="99" customWidth="1"/>
    <col min="3" max="3" width="11.28125" style="1" customWidth="1"/>
    <col min="4" max="4" width="14.28125" style="0" customWidth="1"/>
    <col min="6" max="6" width="11.00390625" style="2" customWidth="1"/>
  </cols>
  <sheetData>
    <row r="3" spans="2:6" s="42" customFormat="1" ht="15.75">
      <c r="B3" s="293" t="s">
        <v>135</v>
      </c>
      <c r="C3" s="294"/>
      <c r="D3" s="122"/>
      <c r="E3" s="122"/>
      <c r="F3" s="295"/>
    </row>
    <row r="4" spans="2:6" s="3" customFormat="1" ht="12.75">
      <c r="B4" s="102"/>
      <c r="C4" s="100"/>
      <c r="D4" s="77"/>
      <c r="E4" s="77"/>
      <c r="F4" s="7"/>
    </row>
    <row r="5" spans="2:5" ht="12.75">
      <c r="B5" s="103"/>
      <c r="C5" s="101"/>
      <c r="D5" s="79"/>
      <c r="E5" s="79"/>
    </row>
    <row r="6" spans="2:5" ht="12.75">
      <c r="B6" s="96" t="s">
        <v>125</v>
      </c>
      <c r="C6" s="78"/>
      <c r="D6" s="78"/>
      <c r="E6" s="77"/>
    </row>
    <row r="7" spans="2:5" ht="12.75">
      <c r="B7" s="94"/>
      <c r="C7" s="84"/>
      <c r="D7" s="84"/>
      <c r="E7" s="79"/>
    </row>
    <row r="8" spans="2:5" ht="12.75">
      <c r="B8" s="96" t="s">
        <v>16</v>
      </c>
      <c r="C8" s="85" t="s">
        <v>22</v>
      </c>
      <c r="D8" s="76" t="s">
        <v>63</v>
      </c>
      <c r="E8" s="77" t="s">
        <v>126</v>
      </c>
    </row>
    <row r="9" spans="2:5" ht="12.75">
      <c r="B9" s="94" t="s">
        <v>25</v>
      </c>
      <c r="C9" s="6">
        <v>40000</v>
      </c>
      <c r="D9" s="86" t="s">
        <v>123</v>
      </c>
      <c r="E9" s="79" t="s">
        <v>187</v>
      </c>
    </row>
    <row r="10" spans="2:5" ht="12.75">
      <c r="B10" s="94" t="s">
        <v>26</v>
      </c>
      <c r="C10" s="6">
        <f>Requests!C46</f>
        <v>70000</v>
      </c>
      <c r="D10" s="86" t="s">
        <v>123</v>
      </c>
      <c r="E10" s="79"/>
    </row>
    <row r="11" spans="2:5" ht="12.75">
      <c r="B11" s="94" t="s">
        <v>26</v>
      </c>
      <c r="C11" s="6">
        <v>71004</v>
      </c>
      <c r="D11" s="86" t="s">
        <v>123</v>
      </c>
      <c r="E11" s="79" t="s">
        <v>384</v>
      </c>
    </row>
    <row r="12" spans="2:5" ht="12.75">
      <c r="B12" s="94" t="s">
        <v>216</v>
      </c>
      <c r="C12" s="6">
        <f>Requests!C47</f>
        <v>80000</v>
      </c>
      <c r="D12" s="86" t="s">
        <v>123</v>
      </c>
      <c r="E12" s="79" t="s">
        <v>539</v>
      </c>
    </row>
    <row r="13" spans="2:5" ht="12.75">
      <c r="B13" s="139" t="s">
        <v>216</v>
      </c>
      <c r="C13" s="6">
        <f>Requests!C48</f>
        <v>80000</v>
      </c>
      <c r="D13" s="86" t="s">
        <v>123</v>
      </c>
      <c r="E13" s="138" t="s">
        <v>565</v>
      </c>
    </row>
    <row r="14" spans="2:5" ht="12.75">
      <c r="B14" s="104"/>
      <c r="C14" s="5"/>
      <c r="D14" s="88"/>
      <c r="E14" s="87"/>
    </row>
    <row r="15" spans="1:5" ht="12.75">
      <c r="A15" s="268">
        <f>COUNT(C9:C14)-1</f>
        <v>4</v>
      </c>
      <c r="B15" s="96" t="s">
        <v>128</v>
      </c>
      <c r="C15" s="84"/>
      <c r="D15" s="78">
        <f>SUM(C9:C14)</f>
        <v>341004</v>
      </c>
      <c r="E15" s="79"/>
    </row>
    <row r="16" spans="2:5" ht="12.75">
      <c r="B16" s="94"/>
      <c r="C16" s="84"/>
      <c r="D16" s="84"/>
      <c r="E16" s="79"/>
    </row>
    <row r="17" spans="2:5" ht="12.75">
      <c r="B17" s="94"/>
      <c r="C17" s="84"/>
      <c r="D17" s="84"/>
      <c r="E17" s="79"/>
    </row>
    <row r="18" spans="2:5" ht="12.75">
      <c r="B18" s="96" t="s">
        <v>127</v>
      </c>
      <c r="C18" s="78"/>
      <c r="D18" s="78"/>
      <c r="E18" s="77"/>
    </row>
    <row r="19" spans="2:5" ht="12.75">
      <c r="B19" s="96"/>
      <c r="C19" s="78"/>
      <c r="D19" s="78"/>
      <c r="E19" s="77"/>
    </row>
    <row r="20" spans="2:5" ht="12.75">
      <c r="B20" s="94" t="s">
        <v>50</v>
      </c>
      <c r="C20" s="84">
        <f>Promotions!H13</f>
        <v>0</v>
      </c>
      <c r="D20" s="79"/>
      <c r="E20" s="79"/>
    </row>
    <row r="21" spans="2:5" ht="12.75">
      <c r="B21" s="94" t="s">
        <v>3</v>
      </c>
      <c r="C21" s="84">
        <v>0</v>
      </c>
      <c r="D21" s="84"/>
      <c r="E21" s="79" t="s">
        <v>557</v>
      </c>
    </row>
    <row r="22" spans="2:5" ht="12.75">
      <c r="B22" s="97" t="s">
        <v>167</v>
      </c>
      <c r="C22" s="88">
        <v>0</v>
      </c>
      <c r="D22" s="78"/>
      <c r="E22" s="79"/>
    </row>
    <row r="23" spans="2:5" ht="12.75">
      <c r="B23" s="217" t="s">
        <v>414</v>
      </c>
      <c r="C23" s="88">
        <v>0</v>
      </c>
      <c r="D23" s="78"/>
      <c r="E23" s="79"/>
    </row>
    <row r="24" spans="2:5" ht="12.75">
      <c r="B24" s="94" t="s">
        <v>136</v>
      </c>
      <c r="C24" s="84">
        <f>Recalls!E13</f>
        <v>0</v>
      </c>
      <c r="D24" s="79"/>
      <c r="E24" s="79"/>
    </row>
    <row r="25" spans="2:5" ht="12.75">
      <c r="B25" s="96" t="s">
        <v>2</v>
      </c>
      <c r="C25" s="78"/>
      <c r="D25" s="78">
        <f>SUM(C20:C24)</f>
        <v>0</v>
      </c>
      <c r="E25" s="77"/>
    </row>
    <row r="26" spans="2:5" ht="12.75">
      <c r="B26" s="96"/>
      <c r="C26" s="84"/>
      <c r="D26" s="78"/>
      <c r="E26" s="79"/>
    </row>
    <row r="27" spans="2:5" ht="12.75">
      <c r="B27" s="96" t="s">
        <v>130</v>
      </c>
      <c r="C27" s="84"/>
      <c r="D27" s="78">
        <f>SUM(D9:D26)</f>
        <v>341004</v>
      </c>
      <c r="E27" s="79"/>
    </row>
    <row r="28" spans="2:5" ht="12.75">
      <c r="B28" s="96"/>
      <c r="C28" s="84"/>
      <c r="D28" s="78"/>
      <c r="E28" s="79"/>
    </row>
    <row r="29" spans="2:5" ht="12.75">
      <c r="B29" s="96" t="s">
        <v>149</v>
      </c>
      <c r="C29" s="84"/>
      <c r="D29" s="78">
        <f>'Captured Pool'!K38</f>
        <v>34170</v>
      </c>
      <c r="E29" s="79"/>
    </row>
    <row r="30" spans="2:5" ht="12.75">
      <c r="B30" s="94"/>
      <c r="C30" s="84"/>
      <c r="D30" s="84"/>
      <c r="E30" s="79"/>
    </row>
    <row r="31" spans="2:5" ht="12.75">
      <c r="B31" s="96" t="s">
        <v>131</v>
      </c>
      <c r="C31" s="84"/>
      <c r="D31" s="82">
        <f>'Captured Pool'!J38</f>
        <v>368028</v>
      </c>
      <c r="E31" s="79"/>
    </row>
    <row r="32" spans="2:5" ht="12.75">
      <c r="B32" s="96"/>
      <c r="C32" s="84"/>
      <c r="D32" s="82"/>
      <c r="E32" s="79"/>
    </row>
    <row r="33" spans="2:5" ht="12.75">
      <c r="B33" s="96"/>
      <c r="C33" s="84"/>
      <c r="D33" s="82"/>
      <c r="E33" s="79"/>
    </row>
    <row r="34" spans="2:5" ht="12.75">
      <c r="B34" s="94"/>
      <c r="C34" s="84"/>
      <c r="D34" s="84"/>
      <c r="E34" s="79"/>
    </row>
    <row r="35" spans="2:5" ht="12.75">
      <c r="B35" s="96" t="s">
        <v>129</v>
      </c>
      <c r="C35" s="84"/>
      <c r="D35" s="84"/>
      <c r="E35" s="79"/>
    </row>
    <row r="36" spans="2:5" ht="12.75">
      <c r="B36" s="94" t="s">
        <v>217</v>
      </c>
      <c r="C36" s="79"/>
      <c r="D36" s="79"/>
      <c r="E36" s="79"/>
    </row>
  </sheetData>
  <printOptions/>
  <pageMargins left="0.75" right="0.75" top="1" bottom="1" header="0.5" footer="0.5"/>
  <pageSetup fitToHeight="1" fitToWidth="1" horizontalDpi="600" verticalDpi="600" orientation="portrait" scale="83" r:id="rId1"/>
  <headerFooter alignWithMargins="0">
    <oddFooter>&amp;C&amp;T  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workbookViewId="0" topLeftCell="A9">
      <selection activeCell="G23" sqref="G23"/>
    </sheetView>
  </sheetViews>
  <sheetFormatPr defaultColWidth="9.140625" defaultRowHeight="12.75"/>
  <cols>
    <col min="2" max="2" width="20.8515625" style="1" customWidth="1"/>
    <col min="3" max="3" width="12.140625" style="1" customWidth="1"/>
    <col min="4" max="4" width="11.57421875" style="0" customWidth="1"/>
  </cols>
  <sheetData>
    <row r="1" spans="2:3" s="79" customFormat="1" ht="12.75">
      <c r="B1" s="101"/>
      <c r="C1" s="101"/>
    </row>
    <row r="2" spans="2:3" s="79" customFormat="1" ht="12.75">
      <c r="B2" s="101"/>
      <c r="C2" s="101"/>
    </row>
    <row r="3" spans="2:5" s="79" customFormat="1" ht="12.75">
      <c r="B3" s="100" t="s">
        <v>137</v>
      </c>
      <c r="C3" s="100"/>
      <c r="D3" s="77"/>
      <c r="E3" s="77"/>
    </row>
    <row r="4" spans="2:5" s="79" customFormat="1" ht="12.75">
      <c r="B4" s="93"/>
      <c r="C4" s="100"/>
      <c r="D4" s="77"/>
      <c r="E4" s="77"/>
    </row>
    <row r="5" spans="2:3" s="79" customFormat="1" ht="12.75">
      <c r="B5" s="101"/>
      <c r="C5" s="101"/>
    </row>
    <row r="6" spans="2:5" s="79" customFormat="1" ht="12.75">
      <c r="B6" s="77" t="s">
        <v>125</v>
      </c>
      <c r="C6" s="78"/>
      <c r="D6" s="78"/>
      <c r="E6" s="77"/>
    </row>
    <row r="7" spans="3:4" s="79" customFormat="1" ht="12.75">
      <c r="C7" s="84"/>
      <c r="D7" s="84"/>
    </row>
    <row r="8" spans="2:5" s="79" customFormat="1" ht="12.75">
      <c r="B8" s="77" t="s">
        <v>16</v>
      </c>
      <c r="C8" s="85" t="s">
        <v>22</v>
      </c>
      <c r="D8" s="76" t="s">
        <v>63</v>
      </c>
      <c r="E8" s="77" t="s">
        <v>126</v>
      </c>
    </row>
    <row r="9" spans="2:5" s="79" customFormat="1" ht="12.75">
      <c r="B9" s="77"/>
      <c r="C9" s="85"/>
      <c r="D9" s="76"/>
      <c r="E9" s="77"/>
    </row>
    <row r="10" spans="2:5" s="79" customFormat="1" ht="12.75">
      <c r="B10" s="92" t="s">
        <v>182</v>
      </c>
      <c r="C10" s="6">
        <v>46800</v>
      </c>
      <c r="D10" s="296" t="s">
        <v>123</v>
      </c>
      <c r="E10" s="79" t="s">
        <v>117</v>
      </c>
    </row>
    <row r="11" spans="2:5" ht="12.75">
      <c r="B11" s="145" t="s">
        <v>206</v>
      </c>
      <c r="C11" s="2">
        <v>47004</v>
      </c>
      <c r="D11" s="11" t="s">
        <v>123</v>
      </c>
      <c r="E11" t="s">
        <v>117</v>
      </c>
    </row>
    <row r="12" spans="2:5" ht="12.75">
      <c r="B12" s="145" t="s">
        <v>182</v>
      </c>
      <c r="C12" s="2"/>
      <c r="D12" s="11" t="s">
        <v>123</v>
      </c>
      <c r="E12" t="s">
        <v>481</v>
      </c>
    </row>
    <row r="13" spans="2:5" ht="12.75">
      <c r="B13" s="145" t="s">
        <v>467</v>
      </c>
      <c r="C13" s="2">
        <f>Requests!C55-C14</f>
        <v>59100</v>
      </c>
      <c r="D13" t="s">
        <v>480</v>
      </c>
      <c r="E13" s="11" t="s">
        <v>468</v>
      </c>
    </row>
    <row r="14" spans="2:5" ht="12.75">
      <c r="B14" s="145" t="s">
        <v>467</v>
      </c>
      <c r="C14" s="2">
        <v>12500</v>
      </c>
      <c r="E14" s="11" t="s">
        <v>531</v>
      </c>
    </row>
    <row r="15" spans="2:5" ht="12.75">
      <c r="B15" s="145" t="s">
        <v>206</v>
      </c>
      <c r="C15" s="2">
        <f>Requests!C56</f>
        <v>49764</v>
      </c>
      <c r="D15" t="s">
        <v>123</v>
      </c>
      <c r="E15" s="11" t="s">
        <v>509</v>
      </c>
    </row>
    <row r="16" spans="2:4" ht="12.75">
      <c r="B16" s="145" t="s">
        <v>510</v>
      </c>
      <c r="C16" s="2">
        <f>Requests!C57</f>
        <v>50469</v>
      </c>
      <c r="D16" s="11" t="s">
        <v>123</v>
      </c>
    </row>
    <row r="17" spans="2:4" ht="12.75">
      <c r="B17" s="145"/>
      <c r="C17" s="2"/>
      <c r="D17" s="56"/>
    </row>
    <row r="18" spans="1:4" s="79" customFormat="1" ht="12.75">
      <c r="A18" s="276">
        <f>COUNT(C9:C17)-1</f>
        <v>5</v>
      </c>
      <c r="B18" s="77" t="s">
        <v>128</v>
      </c>
      <c r="C18" s="84"/>
      <c r="D18" s="78">
        <f>SUM(C10:C17)</f>
        <v>265637</v>
      </c>
    </row>
    <row r="19" spans="3:4" s="79" customFormat="1" ht="12.75">
      <c r="C19" s="84"/>
      <c r="D19" s="84"/>
    </row>
    <row r="20" spans="3:4" s="79" customFormat="1" ht="12.75">
      <c r="C20" s="84"/>
      <c r="D20" s="84"/>
    </row>
    <row r="21" spans="2:5" s="79" customFormat="1" ht="12.75">
      <c r="B21" s="77" t="s">
        <v>127</v>
      </c>
      <c r="C21" s="78"/>
      <c r="D21" s="78"/>
      <c r="E21" s="77"/>
    </row>
    <row r="22" spans="2:5" s="79" customFormat="1" ht="12.75">
      <c r="B22" s="77"/>
      <c r="C22" s="78"/>
      <c r="D22" s="78"/>
      <c r="E22" s="77"/>
    </row>
    <row r="23" spans="2:3" s="79" customFormat="1" ht="12.75">
      <c r="B23" s="79" t="s">
        <v>50</v>
      </c>
      <c r="C23" s="84">
        <f>Promotions!H15</f>
        <v>0</v>
      </c>
    </row>
    <row r="24" spans="2:3" s="79" customFormat="1" ht="12.75">
      <c r="B24" s="79" t="s">
        <v>3</v>
      </c>
      <c r="C24" s="84">
        <f>'Salary Adjustments'!H14</f>
        <v>0</v>
      </c>
    </row>
    <row r="25" spans="2:5" s="79" customFormat="1" ht="12.75">
      <c r="B25" s="138" t="s">
        <v>167</v>
      </c>
      <c r="C25" s="86">
        <f>18064-6125</f>
        <v>11939</v>
      </c>
      <c r="E25" s="79" t="s">
        <v>520</v>
      </c>
    </row>
    <row r="26" spans="2:3" s="79" customFormat="1" ht="12.75">
      <c r="B26" s="138" t="s">
        <v>414</v>
      </c>
      <c r="C26" s="84">
        <v>0</v>
      </c>
    </row>
    <row r="27" spans="2:3" s="79" customFormat="1" ht="12.75">
      <c r="B27" s="79" t="s">
        <v>136</v>
      </c>
      <c r="C27" s="84">
        <f>Recalls!E16</f>
        <v>0</v>
      </c>
    </row>
    <row r="28" spans="2:5" s="79" customFormat="1" ht="12.75">
      <c r="B28" s="77" t="s">
        <v>2</v>
      </c>
      <c r="C28" s="78"/>
      <c r="D28" s="78">
        <f>SUM(C23:C27)</f>
        <v>11939</v>
      </c>
      <c r="E28" s="77"/>
    </row>
    <row r="29" spans="3:4" s="79" customFormat="1" ht="12.75">
      <c r="C29" s="84"/>
      <c r="D29" s="84"/>
    </row>
    <row r="30" spans="2:4" s="79" customFormat="1" ht="12.75">
      <c r="B30" s="77" t="s">
        <v>130</v>
      </c>
      <c r="C30" s="84"/>
      <c r="D30" s="78">
        <f>SUM(D10:D29)</f>
        <v>277576</v>
      </c>
    </row>
    <row r="31" spans="2:4" s="79" customFormat="1" ht="12.75">
      <c r="B31" s="77"/>
      <c r="C31" s="84"/>
      <c r="D31" s="78"/>
    </row>
    <row r="32" spans="2:5" s="79" customFormat="1" ht="12.75">
      <c r="B32" s="77" t="s">
        <v>149</v>
      </c>
      <c r="C32" s="78"/>
      <c r="D32" s="78">
        <f>'Captured Pool'!K45</f>
        <v>0</v>
      </c>
      <c r="E32" s="77"/>
    </row>
    <row r="33" spans="2:4" s="79" customFormat="1" ht="12.75">
      <c r="B33" s="77"/>
      <c r="C33" s="84"/>
      <c r="D33" s="78"/>
    </row>
    <row r="34" spans="2:4" s="79" customFormat="1" ht="12.75">
      <c r="B34" s="77" t="s">
        <v>131</v>
      </c>
      <c r="C34" s="84"/>
      <c r="D34" s="82">
        <f>'Captured Pool'!J45</f>
        <v>200412</v>
      </c>
    </row>
    <row r="35" spans="2:4" s="79" customFormat="1" ht="12.75">
      <c r="B35" s="77"/>
      <c r="C35" s="84"/>
      <c r="D35" s="82"/>
    </row>
    <row r="36" spans="3:4" s="79" customFormat="1" ht="12.75">
      <c r="C36" s="84"/>
      <c r="D36" s="84"/>
    </row>
    <row r="37" spans="2:4" s="79" customFormat="1" ht="12.75" hidden="1">
      <c r="B37" s="77" t="s">
        <v>129</v>
      </c>
      <c r="C37" s="84"/>
      <c r="D37" s="84"/>
    </row>
    <row r="38" s="79" customFormat="1" ht="12.75"/>
    <row r="39" spans="2:3" ht="12.75">
      <c r="B39"/>
      <c r="C39"/>
    </row>
    <row r="40" spans="2:3" ht="12.75">
      <c r="B40"/>
      <c r="C40"/>
    </row>
    <row r="41" spans="2:3" ht="12.75">
      <c r="B41"/>
      <c r="C41"/>
    </row>
    <row r="42" spans="2:3" ht="12.75">
      <c r="B42"/>
      <c r="C42"/>
    </row>
    <row r="43" spans="2:3" ht="12.75">
      <c r="B43"/>
      <c r="C43"/>
    </row>
    <row r="44" spans="2:3" ht="12.75">
      <c r="B44"/>
      <c r="C44"/>
    </row>
    <row r="45" spans="2:3" ht="12.75">
      <c r="B45"/>
      <c r="C45"/>
    </row>
    <row r="46" spans="2:3" ht="12.75">
      <c r="B46"/>
      <c r="C46"/>
    </row>
  </sheetData>
  <printOptions/>
  <pageMargins left="0.75" right="0.75" top="1" bottom="1" header="0.5" footer="0.5"/>
  <pageSetup fitToHeight="1" fitToWidth="1" horizontalDpi="600" verticalDpi="600" orientation="portrait" scale="91" r:id="rId1"/>
  <headerFooter alignWithMargins="0">
    <oddFooter>&amp;C&amp;T  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2"/>
  <sheetViews>
    <sheetView workbookViewId="0" topLeftCell="A8">
      <selection activeCell="G28" sqref="G28"/>
    </sheetView>
  </sheetViews>
  <sheetFormatPr defaultColWidth="9.140625" defaultRowHeight="12.75"/>
  <cols>
    <col min="2" max="2" width="18.8515625" style="0" customWidth="1"/>
    <col min="3" max="3" width="12.57421875" style="0" customWidth="1"/>
    <col min="4" max="4" width="18.28125" style="0" customWidth="1"/>
  </cols>
  <sheetData>
    <row r="1" s="79" customFormat="1" ht="12.75"/>
    <row r="2" s="79" customFormat="1" ht="12.75"/>
    <row r="3" s="79" customFormat="1" ht="12.75">
      <c r="B3" s="77" t="s">
        <v>132</v>
      </c>
    </row>
    <row r="4" s="79" customFormat="1" ht="12.75">
      <c r="B4" s="77"/>
    </row>
    <row r="5" s="79" customFormat="1" ht="12.75"/>
    <row r="6" spans="2:5" s="79" customFormat="1" ht="12.75">
      <c r="B6" s="77" t="s">
        <v>125</v>
      </c>
      <c r="C6" s="78"/>
      <c r="D6" s="78"/>
      <c r="E6" s="77"/>
    </row>
    <row r="7" spans="3:4" s="79" customFormat="1" ht="12.75">
      <c r="C7" s="84"/>
      <c r="D7" s="84"/>
    </row>
    <row r="8" spans="2:5" s="79" customFormat="1" ht="12.75">
      <c r="B8" s="77" t="s">
        <v>16</v>
      </c>
      <c r="C8" s="85" t="s">
        <v>22</v>
      </c>
      <c r="D8" s="76" t="s">
        <v>63</v>
      </c>
      <c r="E8" s="77" t="s">
        <v>126</v>
      </c>
    </row>
    <row r="9" spans="2:5" s="79" customFormat="1" ht="12.75">
      <c r="B9" s="81"/>
      <c r="C9" s="6"/>
      <c r="D9" s="88"/>
      <c r="E9" s="87"/>
    </row>
    <row r="10" spans="2:5" s="79" customFormat="1" ht="12.75">
      <c r="B10" s="81" t="s">
        <v>225</v>
      </c>
      <c r="C10" s="6">
        <v>71004</v>
      </c>
      <c r="D10" s="88" t="s">
        <v>226</v>
      </c>
      <c r="E10" s="87" t="s">
        <v>228</v>
      </c>
    </row>
    <row r="11" spans="2:5" s="79" customFormat="1" ht="12.75">
      <c r="B11" s="81" t="s">
        <v>225</v>
      </c>
      <c r="C11" s="6">
        <v>94308</v>
      </c>
      <c r="D11" s="88" t="s">
        <v>202</v>
      </c>
      <c r="E11" s="87" t="s">
        <v>227</v>
      </c>
    </row>
    <row r="12" spans="2:5" s="79" customFormat="1" ht="12.75">
      <c r="B12" s="81" t="s">
        <v>184</v>
      </c>
      <c r="C12" s="6">
        <v>64008</v>
      </c>
      <c r="D12" s="88" t="s">
        <v>123</v>
      </c>
      <c r="E12" s="107" t="s">
        <v>566</v>
      </c>
    </row>
    <row r="13" spans="2:5" s="79" customFormat="1" ht="12.75">
      <c r="B13" s="81" t="s">
        <v>469</v>
      </c>
      <c r="C13" s="6">
        <f>Requests!C66</f>
        <v>72000</v>
      </c>
      <c r="D13" s="88" t="s">
        <v>123</v>
      </c>
      <c r="E13" s="107"/>
    </row>
    <row r="14" spans="2:5" s="79" customFormat="1" ht="12.75">
      <c r="B14" s="81" t="s">
        <v>470</v>
      </c>
      <c r="C14" s="6">
        <f>Requests!C67</f>
        <v>75000</v>
      </c>
      <c r="D14" s="88" t="s">
        <v>123</v>
      </c>
      <c r="E14" s="107"/>
    </row>
    <row r="15" spans="2:5" s="79" customFormat="1" ht="12.75">
      <c r="B15" s="81" t="s">
        <v>184</v>
      </c>
      <c r="C15" s="6">
        <f>Requests!C68</f>
        <v>66000</v>
      </c>
      <c r="D15" s="88" t="s">
        <v>123</v>
      </c>
      <c r="E15" s="107" t="s">
        <v>511</v>
      </c>
    </row>
    <row r="16" spans="2:5" s="79" customFormat="1" ht="12.75">
      <c r="B16" s="81" t="s">
        <v>501</v>
      </c>
      <c r="C16" s="6"/>
      <c r="D16" s="88" t="s">
        <v>124</v>
      </c>
      <c r="E16" s="107" t="s">
        <v>502</v>
      </c>
    </row>
    <row r="17" spans="2:5" s="79" customFormat="1" ht="12.75">
      <c r="B17" s="81"/>
      <c r="C17" s="6"/>
      <c r="D17" s="88"/>
      <c r="E17" s="107"/>
    </row>
    <row r="18" spans="1:4" s="79" customFormat="1" ht="12.75">
      <c r="A18" s="224">
        <f>COUNT(C9:C17)-1</f>
        <v>5</v>
      </c>
      <c r="B18" s="77" t="s">
        <v>128</v>
      </c>
      <c r="C18" s="84"/>
      <c r="D18" s="78">
        <f>SUM(C9:C17)</f>
        <v>442320</v>
      </c>
    </row>
    <row r="19" spans="3:4" s="79" customFormat="1" ht="12.75">
      <c r="C19" s="84"/>
      <c r="D19" s="84"/>
    </row>
    <row r="20" spans="3:4" s="79" customFormat="1" ht="12.75">
      <c r="C20" s="84"/>
      <c r="D20" s="84"/>
    </row>
    <row r="21" spans="2:5" s="79" customFormat="1" ht="12.75">
      <c r="B21" s="77" t="s">
        <v>127</v>
      </c>
      <c r="C21" s="78"/>
      <c r="D21" s="78"/>
      <c r="E21" s="77"/>
    </row>
    <row r="22" spans="2:5" s="79" customFormat="1" ht="12.75">
      <c r="B22" s="77"/>
      <c r="C22" s="78"/>
      <c r="D22" s="78"/>
      <c r="E22" s="77"/>
    </row>
    <row r="23" spans="2:4" s="79" customFormat="1" ht="12.75">
      <c r="B23" s="79" t="s">
        <v>50</v>
      </c>
      <c r="C23" s="5">
        <f>Promotions!H17</f>
        <v>0</v>
      </c>
      <c r="D23" s="84"/>
    </row>
    <row r="24" spans="2:5" s="79" customFormat="1" ht="12.75">
      <c r="B24" s="79" t="s">
        <v>3</v>
      </c>
      <c r="C24" s="5">
        <v>0</v>
      </c>
      <c r="D24" s="84"/>
      <c r="E24" s="79" t="s">
        <v>557</v>
      </c>
    </row>
    <row r="25" spans="2:4" s="79" customFormat="1" ht="12.75">
      <c r="B25" s="138" t="s">
        <v>167</v>
      </c>
      <c r="C25" s="84">
        <v>0</v>
      </c>
      <c r="D25" s="84"/>
    </row>
    <row r="26" spans="2:5" s="79" customFormat="1" ht="12.75">
      <c r="B26" s="138" t="s">
        <v>414</v>
      </c>
      <c r="C26" s="84">
        <v>-80436</v>
      </c>
      <c r="D26" s="84"/>
      <c r="E26" s="79" t="s">
        <v>567</v>
      </c>
    </row>
    <row r="27" spans="2:4" s="79" customFormat="1" ht="12.75">
      <c r="B27" s="138" t="s">
        <v>136</v>
      </c>
      <c r="C27" s="84">
        <f>Recalls!E19</f>
        <v>0</v>
      </c>
      <c r="D27" s="84"/>
    </row>
    <row r="28" spans="2:5" s="79" customFormat="1" ht="12.75">
      <c r="B28" s="77" t="s">
        <v>2</v>
      </c>
      <c r="C28" s="78"/>
      <c r="D28" s="78">
        <f>SUM(C23:C27)</f>
        <v>-80436</v>
      </c>
      <c r="E28" s="77"/>
    </row>
    <row r="29" spans="3:4" s="79" customFormat="1" ht="12.75">
      <c r="C29" s="84"/>
      <c r="D29" s="84"/>
    </row>
    <row r="30" spans="2:4" s="79" customFormat="1" ht="12.75">
      <c r="B30" s="77" t="s">
        <v>130</v>
      </c>
      <c r="C30" s="84"/>
      <c r="D30" s="78">
        <f>SUM(D9:D29)</f>
        <v>361884</v>
      </c>
    </row>
    <row r="31" spans="2:4" s="79" customFormat="1" ht="12.75">
      <c r="B31" s="77"/>
      <c r="C31" s="84"/>
      <c r="D31" s="78"/>
    </row>
    <row r="32" spans="2:5" s="79" customFormat="1" ht="12.75">
      <c r="B32" s="77" t="s">
        <v>149</v>
      </c>
      <c r="C32" s="78"/>
      <c r="D32" s="78">
        <f>'Captured Pool'!K54</f>
        <v>27552</v>
      </c>
      <c r="E32" s="87" t="s">
        <v>568</v>
      </c>
    </row>
    <row r="33" spans="3:4" s="79" customFormat="1" ht="12.75">
      <c r="C33" s="84"/>
      <c r="D33" s="84"/>
    </row>
    <row r="34" spans="2:4" s="79" customFormat="1" ht="12.75">
      <c r="B34" s="77" t="s">
        <v>131</v>
      </c>
      <c r="C34" s="84"/>
      <c r="D34" s="82">
        <f>'Captured Pool'!J54</f>
        <v>358452</v>
      </c>
    </row>
    <row r="35" spans="2:4" s="79" customFormat="1" ht="12.75">
      <c r="B35" s="77"/>
      <c r="C35" s="84"/>
      <c r="D35" s="82"/>
    </row>
    <row r="36" spans="3:4" s="79" customFormat="1" ht="12.75">
      <c r="C36" s="84"/>
      <c r="D36" s="84"/>
    </row>
    <row r="37" spans="2:4" s="79" customFormat="1" ht="12.75">
      <c r="B37" s="77" t="s">
        <v>129</v>
      </c>
      <c r="C37" s="84"/>
      <c r="D37" s="84"/>
    </row>
    <row r="38" spans="2:5" s="79" customFormat="1" ht="12.75">
      <c r="B38" s="79" t="s">
        <v>540</v>
      </c>
      <c r="E38" s="79" t="s">
        <v>541</v>
      </c>
    </row>
    <row r="39" s="79" customFormat="1" ht="12.75"/>
    <row r="40" s="79" customFormat="1" ht="12.75" hidden="1">
      <c r="B40" s="77" t="s">
        <v>138</v>
      </c>
    </row>
    <row r="41" spans="2:5" s="79" customFormat="1" ht="12.75" hidden="1">
      <c r="B41" s="79" t="s">
        <v>139</v>
      </c>
      <c r="C41" s="84">
        <v>-57144</v>
      </c>
      <c r="E41" s="79" t="s">
        <v>140</v>
      </c>
    </row>
    <row r="42" spans="3:5" s="79" customFormat="1" ht="12.75" hidden="1">
      <c r="C42" s="84">
        <v>60000</v>
      </c>
      <c r="E42" s="79" t="s">
        <v>141</v>
      </c>
    </row>
    <row r="43" s="79" customFormat="1" ht="12.75"/>
  </sheetData>
  <printOptions/>
  <pageMargins left="0.75" right="0.75" top="1" bottom="1" header="0.5" footer="0.5"/>
  <pageSetup fitToHeight="1" fitToWidth="1" horizontalDpi="600" verticalDpi="600" orientation="portrait" scale="87" r:id="rId1"/>
  <headerFooter alignWithMargins="0">
    <oddFooter>&amp;C&amp;T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Academic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JKalinay</dc:creator>
  <cp:keywords/>
  <dc:description/>
  <cp:lastModifiedBy>Laurie Bonini</cp:lastModifiedBy>
  <cp:lastPrinted>2002-07-24T17:11:35Z</cp:lastPrinted>
  <dcterms:created xsi:type="dcterms:W3CDTF">2000-05-11T19:17:10Z</dcterms:created>
  <dcterms:modified xsi:type="dcterms:W3CDTF">2002-07-25T17:20:51Z</dcterms:modified>
  <cp:category/>
  <cp:version/>
  <cp:contentType/>
  <cp:contentStatus/>
</cp:coreProperties>
</file>