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0"/>
  </bookViews>
  <sheets>
    <sheet name="BI SUMMARY" sheetId="1" r:id="rId1"/>
    <sheet name="BY ACCOUNT" sheetId="2" r:id="rId2"/>
    <sheet name="Sheet3" sheetId="3" r:id="rId3"/>
  </sheets>
  <definedNames>
    <definedName name="_xlnm.Print_Area" localSheetId="0">'BI SUMMARY'!$E$508:$Z$551</definedName>
    <definedName name="_xlnm.Print_Area" localSheetId="1">'BY ACCOUNT'!$A$1:$E$937</definedName>
    <definedName name="_xlnm.Print_Titles" localSheetId="0">'BI SUMMARY'!$D:$D,'BI SUMMARY'!$1:$5</definedName>
  </definedNames>
  <calcPr fullCalcOnLoad="1"/>
</workbook>
</file>

<file path=xl/sharedStrings.xml><?xml version="1.0" encoding="utf-8"?>
<sst xmlns="http://schemas.openxmlformats.org/spreadsheetml/2006/main" count="14501" uniqueCount="3275">
  <si>
    <t>421231</t>
  </si>
  <si>
    <t>WYOMING FORESTRY PROGRAM - ADMINISTRATION</t>
  </si>
  <si>
    <t>13224</t>
  </si>
  <si>
    <t>421240</t>
  </si>
  <si>
    <t>SUMMER SESSION - PROVOST</t>
  </si>
  <si>
    <t>13229</t>
  </si>
  <si>
    <t>421263</t>
  </si>
  <si>
    <t>HIV CONFERENCE</t>
  </si>
  <si>
    <t>13238</t>
  </si>
  <si>
    <t>421265</t>
  </si>
  <si>
    <t>INFO TECH/ADMIN SYSTEMS - OPERATIONS</t>
  </si>
  <si>
    <t>13239</t>
  </si>
  <si>
    <t>421266</t>
  </si>
  <si>
    <t>INFO TECH/ADMIN SYSTEMS - APPLICATIONS DEVELOPMENT</t>
  </si>
  <si>
    <t>13240</t>
  </si>
  <si>
    <t>421273</t>
  </si>
  <si>
    <t>CHEYENNE PRACTICE PLAN SALARY</t>
  </si>
  <si>
    <t>13247</t>
  </si>
  <si>
    <t>421274</t>
  </si>
  <si>
    <t>CASPER PRACTICE PLAN SALARY</t>
  </si>
  <si>
    <t>13248</t>
  </si>
  <si>
    <t>421275</t>
  </si>
  <si>
    <t>INTERNATIONAL PARTICIPANT TRAINING</t>
  </si>
  <si>
    <t>13249</t>
  </si>
  <si>
    <t>421284</t>
  </si>
  <si>
    <t>NURSING CENTER FEE COLLECTION</t>
  </si>
  <si>
    <t>13253</t>
  </si>
  <si>
    <t>421291</t>
  </si>
  <si>
    <t>SOCIAL WORK PRACTICUM</t>
  </si>
  <si>
    <t>13256</t>
  </si>
  <si>
    <t>421294</t>
  </si>
  <si>
    <t>INFORMATION TECHNOLOGY - CAMPUS LAN (LOCAL AREA NETWORK)</t>
  </si>
  <si>
    <t>13258</t>
  </si>
  <si>
    <t>421296</t>
  </si>
  <si>
    <t>UNIVERSITY OF WYOMING/CASPER COLLEGE STUDENT HEALTH</t>
  </si>
  <si>
    <t>13260</t>
  </si>
  <si>
    <t>421297</t>
  </si>
  <si>
    <t>STEIDTMANN EQUIPMENT USAGE</t>
  </si>
  <si>
    <t>13261</t>
  </si>
  <si>
    <t>421298</t>
  </si>
  <si>
    <t>INFORMATION TECHNOLOGY - PRINTER SUPPLIES</t>
  </si>
  <si>
    <t>13262</t>
  </si>
  <si>
    <t>421299</t>
  </si>
  <si>
    <t>INFORMATION TECHNOLOGY - SPSS/SAS</t>
  </si>
  <si>
    <t>13263</t>
  </si>
  <si>
    <t>421303</t>
  </si>
  <si>
    <t>AMERICAN SOCITY ANIMAL SCIENCE (ASAS) - KERCHER</t>
  </si>
  <si>
    <t>13265</t>
  </si>
  <si>
    <t>421304</t>
  </si>
  <si>
    <t>WYOMING CARE SUMMER INSTITUTE</t>
  </si>
  <si>
    <t>13266</t>
  </si>
  <si>
    <t>421305</t>
  </si>
  <si>
    <t>ARTS &amp; SCIENCE WIDT</t>
  </si>
  <si>
    <t>13267</t>
  </si>
  <si>
    <t>421314</t>
  </si>
  <si>
    <t>ED/CONTINUING &amp; PROFESSIONAL EDUCATION</t>
  </si>
  <si>
    <t>13274</t>
  </si>
  <si>
    <t>421315</t>
  </si>
  <si>
    <t>LAW, COLLEGE OF ALUMNI RELATIONS</t>
  </si>
  <si>
    <t>13275</t>
  </si>
  <si>
    <t>421318</t>
  </si>
  <si>
    <t>PHONATHON CALLERS</t>
  </si>
  <si>
    <t>13276</t>
  </si>
  <si>
    <t>421319</t>
  </si>
  <si>
    <t>DEVELOPMENT OFFICE SALARY</t>
  </si>
  <si>
    <t>13277</t>
  </si>
  <si>
    <t>421359</t>
  </si>
  <si>
    <t>MED TECH SAFETY SUPPLIES</t>
  </si>
  <si>
    <t>13307</t>
  </si>
  <si>
    <t>421361</t>
  </si>
  <si>
    <t>ENFORCEMENT AND SECURITY</t>
  </si>
  <si>
    <t>13309</t>
  </si>
  <si>
    <t>421362</t>
  </si>
  <si>
    <t>APPLICATION FEES SCHOOL OF PHARMACY</t>
  </si>
  <si>
    <t>13310</t>
  </si>
  <si>
    <t>421364</t>
  </si>
  <si>
    <t>APPLICATION FEES NURSING</t>
  </si>
  <si>
    <t>13312</t>
  </si>
  <si>
    <t>421365</t>
  </si>
  <si>
    <t>APPLICATION FEES SOCIAL WORK</t>
  </si>
  <si>
    <t>13313</t>
  </si>
  <si>
    <t>421366</t>
  </si>
  <si>
    <t>APPLICATION FEES MEDICAL TECHNOLOGY</t>
  </si>
  <si>
    <t>13314</t>
  </si>
  <si>
    <t>421367</t>
  </si>
  <si>
    <t>APPLICATION FEES SCHOOL OF PHYSICAL AND HEALTH EDUCATION</t>
  </si>
  <si>
    <t>13315</t>
  </si>
  <si>
    <t>421370</t>
  </si>
  <si>
    <t>PRACTICUM FEES SCHOOL OF NURSING</t>
  </si>
  <si>
    <t>13318</t>
  </si>
  <si>
    <t>421371</t>
  </si>
  <si>
    <t>PRACTICUM FEES, SPEECH PATHOLOGY/AUDIOLOY</t>
  </si>
  <si>
    <t>13319</t>
  </si>
  <si>
    <t>421372</t>
  </si>
  <si>
    <t>PRACTICUM FEES, SCHOOL OF PHARMACY</t>
  </si>
  <si>
    <t>13320</t>
  </si>
  <si>
    <t>421374</t>
  </si>
  <si>
    <t>TEACHING LAB I</t>
  </si>
  <si>
    <t>13322</t>
  </si>
  <si>
    <t>421389</t>
  </si>
  <si>
    <t>STUDENT FINANCIAL OPERATIONS PROGRAMS</t>
  </si>
  <si>
    <t>13333</t>
  </si>
  <si>
    <t>421397</t>
  </si>
  <si>
    <t>OFF CAMPUS COURSES</t>
  </si>
  <si>
    <t>13340</t>
  </si>
  <si>
    <t>421398</t>
  </si>
  <si>
    <t>FAMILY PRACTICE X-RAY SILVER</t>
  </si>
  <si>
    <t>13341</t>
  </si>
  <si>
    <t>421408</t>
  </si>
  <si>
    <t>INTRAMURAL/RECREATIONAL SPORTS FOR SUMMER</t>
  </si>
  <si>
    <t>13349</t>
  </si>
  <si>
    <t>421421</t>
  </si>
  <si>
    <t>PE COURSE FEES</t>
  </si>
  <si>
    <t>13360</t>
  </si>
  <si>
    <t>421425</t>
  </si>
  <si>
    <t>OPERATIONS SALES</t>
  </si>
  <si>
    <t>13364</t>
  </si>
  <si>
    <t>421426</t>
  </si>
  <si>
    <t>PC SALES</t>
  </si>
  <si>
    <t>421443</t>
  </si>
  <si>
    <t>PRACT FEES MED TECH</t>
  </si>
  <si>
    <t>13381</t>
  </si>
  <si>
    <t>421478</t>
  </si>
  <si>
    <t>SOCIAL WORK- INSTRUCTIONAL SUPPORT</t>
  </si>
  <si>
    <t>16194</t>
  </si>
  <si>
    <t>421480</t>
  </si>
  <si>
    <t>STUDENT TEACHING</t>
  </si>
  <si>
    <t xml:space="preserve">     COLLEGE OF AGRICULTURE INSTRUCTION</t>
  </si>
  <si>
    <t>PROJ</t>
  </si>
  <si>
    <t>GRNT</t>
  </si>
  <si>
    <t xml:space="preserve">     TOTAL AGRICUTURE AND APPLIED ECON</t>
  </si>
  <si>
    <t xml:space="preserve">     TOTAL ANIMAL SCIENCE</t>
  </si>
  <si>
    <t xml:space="preserve">     TOTAL MOLECULAR BIOLOGY</t>
  </si>
  <si>
    <t xml:space="preserve">     TOTAL FAMILY &amp; CONSUMER SCIENCES</t>
  </si>
  <si>
    <t xml:space="preserve">     TOTAL VETERINARY SCIENCE</t>
  </si>
  <si>
    <t xml:space="preserve">     TOTAL PLANT SCIENCES</t>
  </si>
  <si>
    <t xml:space="preserve">     TOTAL RENEWABLE RESOURCES</t>
  </si>
  <si>
    <t xml:space="preserve"> COLLEGE OF BUSINESS</t>
  </si>
  <si>
    <t xml:space="preserve"> TOTAL COLLEGE OF BUSINESS</t>
  </si>
  <si>
    <t xml:space="preserve"> COLLEGE OF EDUCATION</t>
  </si>
  <si>
    <t xml:space="preserve"> TOTAL COLLEGE OF EDUCATION</t>
  </si>
  <si>
    <t xml:space="preserve"> COLLEGE OF ENGINEERING</t>
  </si>
  <si>
    <t xml:space="preserve"> TOTAL COLLEGE OF ENGINEERING</t>
  </si>
  <si>
    <t xml:space="preserve"> COLLEGE OF HEALTH SCIENCE</t>
  </si>
  <si>
    <t xml:space="preserve"> TOTAL COLLGE OF HEALTH SCIENCE</t>
  </si>
  <si>
    <t xml:space="preserve"> COLLEGE OF LAW</t>
  </si>
  <si>
    <t xml:space="preserve"> TOTAL COLLEGE OF LAW</t>
  </si>
  <si>
    <t xml:space="preserve"> EDUCATION AND SERVICE OUTREACH</t>
  </si>
  <si>
    <t xml:space="preserve"> CASPER/ACADEMIC PROGRAM</t>
  </si>
  <si>
    <t xml:space="preserve"> TOTAL CASPER/ACADEMIC PROGRAM</t>
  </si>
  <si>
    <t xml:space="preserve"> SCHOOL OF EXTENDED STUDIES</t>
  </si>
  <si>
    <t xml:space="preserve"> TOTAL SCHOOL OF EXTENDED STUDIES</t>
  </si>
  <si>
    <t xml:space="preserve"> SCHOOL OF HUMAN MEDICINE</t>
  </si>
  <si>
    <t xml:space="preserve"> GRADUATE SCHOOL</t>
  </si>
  <si>
    <t xml:space="preserve"> TOTAL GRADUATE SCHOOL</t>
  </si>
  <si>
    <t>TOTAL INSTRUCTION</t>
  </si>
  <si>
    <t xml:space="preserve"> RESEARCH &amp; EXTENSION CENTER</t>
  </si>
  <si>
    <t xml:space="preserve"> TOTAL RESEARCH &amp; EXTENSION CENTER</t>
  </si>
  <si>
    <t xml:space="preserve">   AG EXPERIMENT STATIONS</t>
  </si>
  <si>
    <t xml:space="preserve">  TOTAL AES ADMINISTRATION</t>
  </si>
  <si>
    <t xml:space="preserve">  TOTAL AES AG &amp; APPLIED ECON</t>
  </si>
  <si>
    <t xml:space="preserve">  TOTAL AES ANIMAL SCIENCE</t>
  </si>
  <si>
    <t xml:space="preserve">  TOTAL AES MOLECULAR BIOLOGY</t>
  </si>
  <si>
    <t xml:space="preserve">  TOTAL AES VETERINARY SCIENCE</t>
  </si>
  <si>
    <t xml:space="preserve">  TOTAL AES PLANT SCIENCE</t>
  </si>
  <si>
    <t xml:space="preserve">  TOTAL RENEWABLE RESOURCES</t>
  </si>
  <si>
    <t xml:space="preserve">    AG EXPERIMENT STATION</t>
  </si>
  <si>
    <t xml:space="preserve">     AES-Hatch</t>
  </si>
  <si>
    <t xml:space="preserve">     AES-Regional Research</t>
  </si>
  <si>
    <t xml:space="preserve">     AES-McIntire-Stennis</t>
  </si>
  <si>
    <t xml:space="preserve"> TOTAL AG EXPERIMENT STATION</t>
  </si>
  <si>
    <t>TOTAL RESEARCH</t>
  </si>
  <si>
    <t xml:space="preserve"> COOPERATIVE EXTENSION SERVICE</t>
  </si>
  <si>
    <t xml:space="preserve"> TOTAL EXTENSION &amp; PUBLIC SERVICE</t>
  </si>
  <si>
    <t xml:space="preserve">    AG EXTENSION FUNDING</t>
  </si>
  <si>
    <t xml:space="preserve">     State Funding</t>
  </si>
  <si>
    <t xml:space="preserve">     Smith-Lever Federal Funding</t>
  </si>
  <si>
    <t xml:space="preserve">    TOTAL AGRICUTURE EXTENSION</t>
  </si>
  <si>
    <t>TOTAL PUBLIC SERVICE</t>
  </si>
  <si>
    <t>TOTAL ACADEMIC SUPPORT</t>
  </si>
  <si>
    <t>TOTAL ATHLETICS</t>
  </si>
  <si>
    <t>OPERATION &amp; MAINTENANCE OF PLANTS</t>
  </si>
  <si>
    <t xml:space="preserve">    TOTAL PHYSICAL PLANT OPERATIONS</t>
  </si>
  <si>
    <t xml:space="preserve">    TOTAL SPECIAL PHYSICAL PLANT REPAIR</t>
  </si>
  <si>
    <t>TOTAL OPERATIONS &amp; MAINT OF PLANTS</t>
  </si>
  <si>
    <t>TOTAL STUDENT SERVICES</t>
  </si>
  <si>
    <t xml:space="preserve">  INFORMATION TECHNOLOGY</t>
  </si>
  <si>
    <t xml:space="preserve">  TOTAL INFORMATION TECHNOLOGY</t>
  </si>
  <si>
    <t xml:space="preserve">   FINANCIAL SERVICES</t>
  </si>
  <si>
    <t xml:space="preserve">  TOTAL FINANCIAL SERVICES</t>
  </si>
  <si>
    <t>TOTAL INSTITUTIONAL SUPPORT</t>
  </si>
  <si>
    <t>16196</t>
  </si>
  <si>
    <t>421481</t>
  </si>
  <si>
    <t>ASUW LAB LOAN</t>
  </si>
  <si>
    <t>16197</t>
  </si>
  <si>
    <t>421488</t>
  </si>
  <si>
    <t>DEPARTMENT LABS MAINTENANCE</t>
  </si>
  <si>
    <t>16248</t>
  </si>
  <si>
    <t>421511</t>
  </si>
  <si>
    <t>UNION COPY CENTER</t>
  </si>
  <si>
    <t>16422</t>
  </si>
  <si>
    <t>422301</t>
  </si>
  <si>
    <t>A &amp; S DEANS OFFICE</t>
  </si>
  <si>
    <t>1501</t>
  </si>
  <si>
    <t>12760</t>
  </si>
  <si>
    <t>422327</t>
  </si>
  <si>
    <t>12766</t>
  </si>
  <si>
    <t>422355</t>
  </si>
  <si>
    <t>MOLECULAR BIOLOGY INDIRECT COST</t>
  </si>
  <si>
    <t>12770</t>
  </si>
  <si>
    <t>422363</t>
  </si>
  <si>
    <t>12771</t>
  </si>
  <si>
    <t>422373</t>
  </si>
  <si>
    <t>CHEMICAL ENGINEERING</t>
  </si>
  <si>
    <t>12774</t>
  </si>
  <si>
    <t>422376</t>
  </si>
  <si>
    <t>12775</t>
  </si>
  <si>
    <t>422380</t>
  </si>
  <si>
    <t>CIVIL ENGINEERING</t>
  </si>
  <si>
    <t>12776</t>
  </si>
  <si>
    <t>422390</t>
  </si>
  <si>
    <t>12779</t>
  </si>
  <si>
    <t>422394</t>
  </si>
  <si>
    <t>LEADERSHIP, ED STUDIES &amp; HUMAN DEV INDIRECT COST</t>
  </si>
  <si>
    <t>12781</t>
  </si>
  <si>
    <t>422396</t>
  </si>
  <si>
    <t>CURRICULUM-INSTRUCTION</t>
  </si>
  <si>
    <t>12782</t>
  </si>
  <si>
    <t>422408</t>
  </si>
  <si>
    <t>EDUCATION DEANS OFFICE</t>
  </si>
  <si>
    <t>12784</t>
  </si>
  <si>
    <t>422410</t>
  </si>
  <si>
    <t>UNDERGRADUATE &amp; GRADUATE STUDIES INDIRECT COST</t>
  </si>
  <si>
    <t>12785</t>
  </si>
  <si>
    <t>422421</t>
  </si>
  <si>
    <t>DEAN'S OFFICE - ENGINEERING</t>
  </si>
  <si>
    <t>12789</t>
  </si>
  <si>
    <t>422437</t>
  </si>
  <si>
    <t>GEOGRAPHY &amp; RECREATION INDIRECT COST</t>
  </si>
  <si>
    <t>12793</t>
  </si>
  <si>
    <t>422441</t>
  </si>
  <si>
    <t>GEOLOGY</t>
  </si>
  <si>
    <t>12794</t>
  </si>
  <si>
    <t>422455</t>
  </si>
  <si>
    <t>HEALTH SCIENCES DEAN</t>
  </si>
  <si>
    <t>12798</t>
  </si>
  <si>
    <t>422466</t>
  </si>
  <si>
    <t>HUMAN MEDICINE - INDIRECT COST</t>
  </si>
  <si>
    <t>12802</t>
  </si>
  <si>
    <t>422472</t>
  </si>
  <si>
    <t>INTERNATIONAL PROGRAMS INDIRECT COST</t>
  </si>
  <si>
    <t>12806</t>
  </si>
  <si>
    <t>422478</t>
  </si>
  <si>
    <t>DISCRETIONARY/WIND</t>
  </si>
  <si>
    <t>12807</t>
  </si>
  <si>
    <t>422494</t>
  </si>
  <si>
    <t>12812</t>
  </si>
  <si>
    <t>422506</t>
  </si>
  <si>
    <t>12815</t>
  </si>
  <si>
    <t>422539</t>
  </si>
  <si>
    <t>12816</t>
  </si>
  <si>
    <t>422544</t>
  </si>
  <si>
    <t>PHYSICS ASTRONOMY</t>
  </si>
  <si>
    <t>12817</t>
  </si>
  <si>
    <t>422546</t>
  </si>
  <si>
    <t>PHYSICAL &amp; HEALTH EDUCATION - INDIRECT COST</t>
  </si>
  <si>
    <t>12818</t>
  </si>
  <si>
    <t>422572</t>
  </si>
  <si>
    <t>12822</t>
  </si>
  <si>
    <t>422638</t>
  </si>
  <si>
    <t>ACAD</t>
  </si>
  <si>
    <t>PRO</t>
  </si>
  <si>
    <t>GRAD</t>
  </si>
  <si>
    <t>ASSIST</t>
  </si>
  <si>
    <t>SOCIAL WORK - INDIRECT COST</t>
  </si>
  <si>
    <t>12825</t>
  </si>
  <si>
    <t>422671</t>
  </si>
  <si>
    <t>12830</t>
  </si>
  <si>
    <t>422677</t>
  </si>
  <si>
    <t>12831</t>
  </si>
  <si>
    <t>422683</t>
  </si>
  <si>
    <t>STUDENT FINANCIAL AIDS</t>
  </si>
  <si>
    <t>12832</t>
  </si>
  <si>
    <t>422695</t>
  </si>
  <si>
    <t>UNIVERSITY SCHOOL</t>
  </si>
  <si>
    <t>12833</t>
  </si>
  <si>
    <t>422703</t>
  </si>
  <si>
    <t>ASSOC VICE PRES STUDENT AFFAIRS INDIRECT COST ALLOCATION</t>
  </si>
  <si>
    <t>12835</t>
  </si>
  <si>
    <t>422708</t>
  </si>
  <si>
    <t>VICE PRESIDENT FINANCE - INDIRECT COST</t>
  </si>
  <si>
    <t>12837</t>
  </si>
  <si>
    <t>422715</t>
  </si>
  <si>
    <t>VICE PRESIDENT RESEARCH - INDIRECT COST</t>
  </si>
  <si>
    <t>12838</t>
  </si>
  <si>
    <t>422753</t>
  </si>
  <si>
    <t>WY WATER RESEARCH CENTER</t>
  </si>
  <si>
    <t>12843</t>
  </si>
  <si>
    <t>425019</t>
  </si>
  <si>
    <t>R/T AG ECONOMICS</t>
  </si>
  <si>
    <t>1500</t>
  </si>
  <si>
    <t>12704</t>
  </si>
  <si>
    <t>425031</t>
  </si>
  <si>
    <t>R/T-AG EXTENSION</t>
  </si>
  <si>
    <t>12705</t>
  </si>
  <si>
    <t>425043</t>
  </si>
  <si>
    <t>R/T ANTHROPOLOGY</t>
  </si>
  <si>
    <t>12708</t>
  </si>
  <si>
    <t>425049</t>
  </si>
  <si>
    <t>R/T ATMOS SCIENCE</t>
  </si>
  <si>
    <t>12709</t>
  </si>
  <si>
    <t>425065</t>
  </si>
  <si>
    <t>RELEASED TIME, CASPER FAM PRAC</t>
  </si>
  <si>
    <t>12711</t>
  </si>
  <si>
    <t>425071</t>
  </si>
  <si>
    <t>RELEASED TIME -  CHEMICAL ENGINEERING</t>
  </si>
  <si>
    <t>12712</t>
  </si>
  <si>
    <t>425080</t>
  </si>
  <si>
    <t>RELEASED TIME, CHEYENNE FAMILY PRACTICE</t>
  </si>
  <si>
    <t>12714</t>
  </si>
  <si>
    <t>425083</t>
  </si>
  <si>
    <t>RELEASED TIME - CIVIL &amp; ARCHITECTURAL ENGINEERING</t>
  </si>
  <si>
    <t>12715</t>
  </si>
  <si>
    <t>425094</t>
  </si>
  <si>
    <t>RELEASED TIME, CURRICULUM + INSTRUCTION</t>
  </si>
  <si>
    <t>12719</t>
  </si>
  <si>
    <t>425104</t>
  </si>
  <si>
    <t>R/T , EDUCATION DEAN</t>
  </si>
  <si>
    <t>12721</t>
  </si>
  <si>
    <t>425109</t>
  </si>
  <si>
    <t>RELEASED TIME - ELECTRICAL ENGINEERING</t>
  </si>
  <si>
    <t>12722</t>
  </si>
  <si>
    <t>425134</t>
  </si>
  <si>
    <t>RELEASED TIME, HOME ECONOMICS</t>
  </si>
  <si>
    <t>12727</t>
  </si>
  <si>
    <t>425137</t>
  </si>
  <si>
    <t>RELEASED TIME - IPR GAME &amp; FISH</t>
  </si>
  <si>
    <t>12729</t>
  </si>
  <si>
    <t>425140</t>
  </si>
  <si>
    <t>RELEASED TIME, INTERNATIONAL PROGRAMS</t>
  </si>
  <si>
    <t>12730</t>
  </si>
  <si>
    <t>425142</t>
  </si>
  <si>
    <t>R/T-LAW</t>
  </si>
  <si>
    <t>12731</t>
  </si>
  <si>
    <t>425151</t>
  </si>
  <si>
    <t>R/T MATHEMATICS</t>
  </si>
  <si>
    <t>12734</t>
  </si>
  <si>
    <t>425153</t>
  </si>
  <si>
    <t>RELEASED TIME - MOLECULAR BIOLOGY</t>
  </si>
  <si>
    <t>12735</t>
  </si>
  <si>
    <t>425156</t>
  </si>
  <si>
    <t>RELEASED TIME - MECHANICAL ENGINEERING</t>
  </si>
  <si>
    <t>12736</t>
  </si>
  <si>
    <t>425158</t>
  </si>
  <si>
    <t>RELEASED TIME, NURSING</t>
  </si>
  <si>
    <t>12738</t>
  </si>
  <si>
    <t>425163</t>
  </si>
  <si>
    <t>RELEASED TIME - PE</t>
  </si>
  <si>
    <t>16064</t>
  </si>
  <si>
    <t>425167</t>
  </si>
  <si>
    <t>R/T PLANT SCIENCE</t>
  </si>
  <si>
    <t>12743</t>
  </si>
  <si>
    <t>425171</t>
  </si>
  <si>
    <t>R/T RANGE MANAGEMENT</t>
  </si>
  <si>
    <t>12745</t>
  </si>
  <si>
    <t>425181</t>
  </si>
  <si>
    <t>RELEASED TIME-NATURAL SCIENCE PROGRAM</t>
  </si>
  <si>
    <t>12747</t>
  </si>
  <si>
    <t>425185</t>
  </si>
  <si>
    <t>R/T SOCIAL WORK</t>
  </si>
  <si>
    <t>12748</t>
  </si>
  <si>
    <t>425192</t>
  </si>
  <si>
    <t>R/T SPEECH PATHOLOGY</t>
  </si>
  <si>
    <t>12751</t>
  </si>
  <si>
    <t>425194</t>
  </si>
  <si>
    <t>R/T-STATISTICS</t>
  </si>
  <si>
    <t>12752</t>
  </si>
  <si>
    <t>425197</t>
  </si>
  <si>
    <t>RELEASED TIME - STUDENT EDUCATIONAL OPPORTUNITY</t>
  </si>
  <si>
    <t>12753</t>
  </si>
  <si>
    <t>425200</t>
  </si>
  <si>
    <t>RELEASED TIME- UNIVERSITY COUNSELING CENTER</t>
  </si>
  <si>
    <t>12754</t>
  </si>
  <si>
    <t>425209</t>
  </si>
  <si>
    <t>R/T VOCATIONAL EDUCATION</t>
  </si>
  <si>
    <t>12756</t>
  </si>
  <si>
    <t>425225</t>
  </si>
  <si>
    <t>RELEASED TIME-WY WATER RESEARCH CENTER</t>
  </si>
  <si>
    <t>12757</t>
  </si>
  <si>
    <t>425246</t>
  </si>
  <si>
    <t>R/T ZOOLOGY</t>
  </si>
  <si>
    <t>12758</t>
  </si>
  <si>
    <t>601010</t>
  </si>
  <si>
    <t>SECT 2-ANIMAL HEALTH</t>
  </si>
  <si>
    <t>4150</t>
  </si>
  <si>
    <t>15604</t>
  </si>
  <si>
    <t>00AESAH</t>
  </si>
  <si>
    <t>601500</t>
  </si>
  <si>
    <t>SECT 2-MS ADMIN</t>
  </si>
  <si>
    <t>4120</t>
  </si>
  <si>
    <t>15603</t>
  </si>
  <si>
    <t>00MSADMN</t>
  </si>
  <si>
    <t>601590</t>
  </si>
  <si>
    <t>SECT 2-MS REWM</t>
  </si>
  <si>
    <t>15683</t>
  </si>
  <si>
    <t>00MSNR</t>
  </si>
  <si>
    <t>602000</t>
  </si>
  <si>
    <t>SECT 2- HF- ADMIN</t>
  </si>
  <si>
    <t>4110</t>
  </si>
  <si>
    <t>15601</t>
  </si>
  <si>
    <t>00HFADMN</t>
  </si>
  <si>
    <t>602010</t>
  </si>
  <si>
    <t>SECT 2-HF AG ECON</t>
  </si>
  <si>
    <t>15631</t>
  </si>
  <si>
    <t>00HFAEC</t>
  </si>
  <si>
    <t>602040</t>
  </si>
  <si>
    <t>SECT 2-HF MOL BIO</t>
  </si>
  <si>
    <t>15661</t>
  </si>
  <si>
    <t>00HFMB</t>
  </si>
  <si>
    <t>602050</t>
  </si>
  <si>
    <t>SECT 2-HF FCS</t>
  </si>
  <si>
    <t>15651</t>
  </si>
  <si>
    <t>00HFFCS</t>
  </si>
  <si>
    <t>602060</t>
  </si>
  <si>
    <t>SECT 2-HF VET SCI</t>
  </si>
  <si>
    <t>15691</t>
  </si>
  <si>
    <t>00HFVSC</t>
  </si>
  <si>
    <t>602080</t>
  </si>
  <si>
    <t>SECT 2-HF-PS</t>
  </si>
  <si>
    <t>15671</t>
  </si>
  <si>
    <t>00HFPS</t>
  </si>
  <si>
    <t>603000</t>
  </si>
  <si>
    <t>SECT 2-RRF-ADMIN</t>
  </si>
  <si>
    <t>4130</t>
  </si>
  <si>
    <t>15602</t>
  </si>
  <si>
    <t>00RRFADMN</t>
  </si>
  <si>
    <t>603050</t>
  </si>
  <si>
    <t>SECT 2-RRF FCS</t>
  </si>
  <si>
    <t>15652</t>
  </si>
  <si>
    <t>00RRFFCS</t>
  </si>
  <si>
    <t>604310</t>
  </si>
  <si>
    <t>SECT 2-S/L WIND RIVER</t>
  </si>
  <si>
    <t>4140</t>
  </si>
  <si>
    <t>15923</t>
  </si>
  <si>
    <t>00SLWINDRIV</t>
  </si>
  <si>
    <t>604319</t>
  </si>
  <si>
    <t>WIND RIVER EXTENSION</t>
  </si>
  <si>
    <t>99SLWINDRIV</t>
  </si>
  <si>
    <t>1999</t>
  </si>
  <si>
    <t>604700</t>
  </si>
  <si>
    <t>SMITH-LEVER RESERVE - FY90</t>
  </si>
  <si>
    <t>15900</t>
  </si>
  <si>
    <t>00SLADMN</t>
  </si>
  <si>
    <t>604829</t>
  </si>
  <si>
    <t>SECT 2-S/L IPM-INDEPENDENT</t>
  </si>
  <si>
    <t>15908</t>
  </si>
  <si>
    <t>99SLIPMIND</t>
  </si>
  <si>
    <t>604830</t>
  </si>
  <si>
    <t>SECT 2-S/L IPM</t>
  </si>
  <si>
    <t>15912</t>
  </si>
  <si>
    <t>00SLIPM</t>
  </si>
  <si>
    <t>604839</t>
  </si>
  <si>
    <t>IPM</t>
  </si>
  <si>
    <t>99SLIPM</t>
  </si>
  <si>
    <t>604869</t>
  </si>
  <si>
    <t>RREA</t>
  </si>
  <si>
    <t>15901</t>
  </si>
  <si>
    <t>99SLRREA</t>
  </si>
  <si>
    <t>604870</t>
  </si>
  <si>
    <t>SECT 2-S/L FARM SAFETY</t>
  </si>
  <si>
    <t>15911</t>
  </si>
  <si>
    <t>00SLFARMSAFE</t>
  </si>
  <si>
    <t>604880</t>
  </si>
  <si>
    <t>SECT 2-S/L WATER QUALITY</t>
  </si>
  <si>
    <t>15910</t>
  </si>
  <si>
    <t>00SLWQ</t>
  </si>
  <si>
    <t>604889</t>
  </si>
  <si>
    <t>WATER QUALITY INITIATIVE</t>
  </si>
  <si>
    <t>99SLWQ</t>
  </si>
  <si>
    <t>604939</t>
  </si>
  <si>
    <t>SECT 2-S/L FOOD SAFETY/QUALITY</t>
  </si>
  <si>
    <t>15932</t>
  </si>
  <si>
    <t>99SLFOODSAFE</t>
  </si>
  <si>
    <t>605109</t>
  </si>
  <si>
    <t>EFNEP-PRO ADULT-STATE</t>
  </si>
  <si>
    <t>4160</t>
  </si>
  <si>
    <t>15980</t>
  </si>
  <si>
    <t>99EFNEPPRAST</t>
  </si>
  <si>
    <t>605110</t>
  </si>
  <si>
    <t>EFNEP-PRO ADULT-LARAMIE</t>
  </si>
  <si>
    <t>15981</t>
  </si>
  <si>
    <t>00EFNEPPRALAR</t>
  </si>
  <si>
    <t>605119</t>
  </si>
  <si>
    <t>EFNEP - LARAMIE PROFESSIONAL ADULT</t>
  </si>
  <si>
    <t>99EFNEPPRALAR</t>
  </si>
  <si>
    <t>605139</t>
  </si>
  <si>
    <t>EFNEP-PRO ADULT-NATRONA</t>
  </si>
  <si>
    <t>15982</t>
  </si>
  <si>
    <t>99EFNEPPRANAT</t>
  </si>
  <si>
    <t>605140</t>
  </si>
  <si>
    <t>EFNEP-STATE RESERVE</t>
  </si>
  <si>
    <t>15983</t>
  </si>
  <si>
    <t>00EFNEPSTATE</t>
  </si>
  <si>
    <t>605160</t>
  </si>
  <si>
    <t>EFNEP-PRO ADULT-FREMONT</t>
  </si>
  <si>
    <t>15984</t>
  </si>
  <si>
    <t>00EFNEPPRAFRE</t>
  </si>
  <si>
    <t>605169</t>
  </si>
  <si>
    <t>EFNEP - FREMONT PROFESSIONAL ADULT</t>
  </si>
  <si>
    <t>99EFNEPPRAFRE</t>
  </si>
  <si>
    <t>605209</t>
  </si>
  <si>
    <t>EFNEP-PARAPRO ADULT-STATE</t>
  </si>
  <si>
    <t>15986</t>
  </si>
  <si>
    <t>99EFNEPPPAST</t>
  </si>
  <si>
    <t>605230</t>
  </si>
  <si>
    <t>EFNEP-PARAPRO ADULT-NATRONA</t>
  </si>
  <si>
    <t>15988</t>
  </si>
  <si>
    <t>00EFNEPPPANAT</t>
  </si>
  <si>
    <t>605309</t>
  </si>
  <si>
    <t>EFNEP - PROFESSIONAL YOUTH</t>
  </si>
  <si>
    <t>15990</t>
  </si>
  <si>
    <t>99EFNEPPRYST</t>
  </si>
  <si>
    <t>12</t>
  </si>
  <si>
    <t>GIFTS &amp; DONATIONS</t>
  </si>
  <si>
    <t>422817</t>
  </si>
  <si>
    <t>ENERGY MANS ENVIRONMENT GIFT</t>
  </si>
  <si>
    <t>1600</t>
  </si>
  <si>
    <t>12850</t>
  </si>
  <si>
    <t>422822</t>
  </si>
  <si>
    <t>12853</t>
  </si>
  <si>
    <t>422841</t>
  </si>
  <si>
    <t>LAW SCHOOL ENRICHMENT</t>
  </si>
  <si>
    <t>12858</t>
  </si>
  <si>
    <t>422844</t>
  </si>
  <si>
    <t>MCCULLOUCH GAS</t>
  </si>
  <si>
    <t>12860</t>
  </si>
  <si>
    <t>422845</t>
  </si>
  <si>
    <t>MCCLINTOCK A STUDENT ASSISTANT</t>
  </si>
  <si>
    <t>12861</t>
  </si>
  <si>
    <t>422860</t>
  </si>
  <si>
    <t>PETROLEUM HISTORY RESOURCE CENTER</t>
  </si>
  <si>
    <t>12869</t>
  </si>
  <si>
    <t>422864</t>
  </si>
  <si>
    <t>POTEKHEN NANCY E MEMORIAL</t>
  </si>
  <si>
    <t>12872</t>
  </si>
  <si>
    <t>422927</t>
  </si>
  <si>
    <t>AGRICULTURE</t>
  </si>
  <si>
    <t>12906</t>
  </si>
  <si>
    <t>422932</t>
  </si>
  <si>
    <t>12910</t>
  </si>
  <si>
    <t>422933</t>
  </si>
  <si>
    <t>12911</t>
  </si>
  <si>
    <t>422934</t>
  </si>
  <si>
    <t>RANGE MANAGEMENT BUSBY</t>
  </si>
  <si>
    <t>12912</t>
  </si>
  <si>
    <t>422937</t>
  </si>
  <si>
    <t>12914</t>
  </si>
  <si>
    <t>422943</t>
  </si>
  <si>
    <t>12918</t>
  </si>
  <si>
    <t>422944</t>
  </si>
  <si>
    <t>BROADCASTING KUWR</t>
  </si>
  <si>
    <t>12919</t>
  </si>
  <si>
    <t>422947</t>
  </si>
  <si>
    <t>GEOGRAPHY AND RECREATION-ROUND</t>
  </si>
  <si>
    <t>12922</t>
  </si>
  <si>
    <t>422948</t>
  </si>
  <si>
    <t>12923</t>
  </si>
  <si>
    <t>422949</t>
  </si>
  <si>
    <t>12924</t>
  </si>
  <si>
    <t>422953</t>
  </si>
  <si>
    <t>12927</t>
  </si>
  <si>
    <t>422962</t>
  </si>
  <si>
    <t>12933</t>
  </si>
  <si>
    <t>422965</t>
  </si>
  <si>
    <t>ZOOLOGY</t>
  </si>
  <si>
    <t>12936</t>
  </si>
  <si>
    <t>422975</t>
  </si>
  <si>
    <t>EDUCATION</t>
  </si>
  <si>
    <t>12944</t>
  </si>
  <si>
    <t>422976</t>
  </si>
  <si>
    <t>ADULT EDUCATION AND INSTRUCTION SERVICES</t>
  </si>
  <si>
    <t>12945</t>
  </si>
  <si>
    <t>422977</t>
  </si>
  <si>
    <t>CURRICULUM AND INSTRUCTION</t>
  </si>
  <si>
    <t>12946</t>
  </si>
  <si>
    <t>422978</t>
  </si>
  <si>
    <t>EDUCATIONAL ADMINISTRATION</t>
  </si>
  <si>
    <t>12947</t>
  </si>
  <si>
    <t>422979</t>
  </si>
  <si>
    <t>EDUCATION FOUNDATIONS</t>
  </si>
  <si>
    <t>12948</t>
  </si>
  <si>
    <t>422981</t>
  </si>
  <si>
    <t>GUIDANCE AND COUNSELOR EDUCATION</t>
  </si>
  <si>
    <t>12949</t>
  </si>
  <si>
    <t>422983</t>
  </si>
  <si>
    <t>12951</t>
  </si>
  <si>
    <t>422984</t>
  </si>
  <si>
    <t>MECH ENGINEERING SALARY HANDLING</t>
  </si>
  <si>
    <t>NATRONA CO SHERIFF - SAL/SUPP HAND</t>
  </si>
  <si>
    <t>CES/WYO FORESTRY PROG SAL HAND</t>
  </si>
  <si>
    <t>INFO TECH - MICRO RENTALS</t>
  </si>
  <si>
    <t>INFO TECH - USER SUPPORT INSTALL</t>
  </si>
  <si>
    <t>DEV OFFICE - CENTENNIAL CAMPAIGN</t>
  </si>
  <si>
    <t>INFO TECH - ADMINISTRATIVE SYSTEMS</t>
  </si>
  <si>
    <t>WORKSHOP PUB  REVOLVING - POWELL</t>
  </si>
  <si>
    <t>ANIMAL &amp; PL HEALTH INSPEC SERV (USDA)</t>
  </si>
  <si>
    <t>PROG ENHANCEMENT - HEALTH SCIENCES</t>
  </si>
  <si>
    <t>ENVIRONMENTAL AND NATURAL RESR</t>
  </si>
  <si>
    <t>WYO FORESTRY PROG - ADMIN</t>
  </si>
  <si>
    <t>INFO TECH/ADMIN SYSTEMS - OPER</t>
  </si>
  <si>
    <t>INFO TECH/ADMIN SYSTEMS - APPLIC  DEV</t>
  </si>
  <si>
    <t xml:space="preserve">INFO TECH - CAMPUS LAN </t>
  </si>
  <si>
    <t>UNI OF WYO/CASPER COLLEGE STU HEALTH</t>
  </si>
  <si>
    <t>INFO TECH - PRINTER SUPPLIES</t>
  </si>
  <si>
    <t>INFO TECH - SPSS/SAS</t>
  </si>
  <si>
    <t>AMERICAN SOC ANI SCI (ASAS) - KERCHER</t>
  </si>
  <si>
    <t>ED/CONTINUING &amp; PROFESSIONAL ED</t>
  </si>
  <si>
    <t>APPLICATION FEES SCHOOL OF PHARM</t>
  </si>
  <si>
    <t>APPLICATION FEES MED TECHNOLOGY</t>
  </si>
  <si>
    <t xml:space="preserve">APPLICATION FEES SCHOOL PHYS &amp; HEALTH </t>
  </si>
  <si>
    <t>PRACTICUM FEES, SPEECH PATH/AUDIOLOY</t>
  </si>
  <si>
    <t>STUDENT FINANCIAL OPERATIONS PROG</t>
  </si>
  <si>
    <t>INTRAMURAL/REC SPORTS FOR SUMMER</t>
  </si>
  <si>
    <t>LEAD, ED STUDIES &amp; HUMN DEV INDIR COST</t>
  </si>
  <si>
    <t>UNDERGRAD &amp; GRAD STUDIES INDIR COST</t>
  </si>
  <si>
    <t>INTERNL PROGRAMS INDIRECT COST</t>
  </si>
  <si>
    <t>PHYS &amp; HEALTH ED - INDIRECT COST</t>
  </si>
  <si>
    <t>ASSOC VICE PRES STU AFFAIRS INDIR COST</t>
  </si>
  <si>
    <t>ADULT ED &amp; INSTRUCTION SERVICES</t>
  </si>
  <si>
    <t>PAUL STOCK HEALTH SCIS DEANS DISCRETION</t>
  </si>
  <si>
    <t>KAHN, BARBARA FOUND FOR SPEECH CORREC</t>
  </si>
  <si>
    <t>WIND RIVER RESERVATION EXTEN PROG</t>
  </si>
  <si>
    <t>WYO PHYS ED TEACHERS NETWORK</t>
  </si>
  <si>
    <t>KUEHN, C.C. ESTATE ADMIN EXPENSES</t>
  </si>
  <si>
    <t>KUEHN, C.C. ESTATE AMER STUDIES PROGRAM</t>
  </si>
  <si>
    <t>KUEHN, C. C. ESTATE AMER HERITAGE CENTER</t>
  </si>
  <si>
    <t>R/T - MOLECULAR BIOLOGY</t>
  </si>
  <si>
    <t>R/T - MECHANICAL ENGINEERING</t>
  </si>
  <si>
    <t>R/T, NURSING</t>
  </si>
  <si>
    <t>R/T NATURAL SCIENCE PROGRAM</t>
  </si>
  <si>
    <t>R/T - STUDENT EDUCATIONAL OPPORTUNITY</t>
  </si>
  <si>
    <t>R/T- UNIVERSITY COUNSELING CENTER</t>
  </si>
  <si>
    <t>R/T, CASPER FAMILY PRACTICE</t>
  </si>
  <si>
    <t>R/T -  CHEMICAL ENGINEERING</t>
  </si>
  <si>
    <t>R/T - CIVIL &amp; ARCHITECTURAL ENGINEERING</t>
  </si>
  <si>
    <t>R/T, CHEYENNE FAMILY PRACTICE</t>
  </si>
  <si>
    <t>R/T, CURRICULUM + INSTRUCTION</t>
  </si>
  <si>
    <t>R/T - ELECTRICAL ENGINEERING</t>
  </si>
  <si>
    <t>R/T, HOME ECONOMICS</t>
  </si>
  <si>
    <t>R/T - IPR GAME &amp; FISH</t>
  </si>
  <si>
    <t>R/T, INTERNATIONAL PROGRAMS</t>
  </si>
  <si>
    <t>R/T - PE</t>
  </si>
  <si>
    <t>R/T-WY WATER RESEARCH CENTER</t>
  </si>
  <si>
    <t>RESIDENTS &amp; FACULTY ROTATION - CASPER</t>
  </si>
  <si>
    <t>SERV &amp; AUXILIARY ENTERPRISES  DIRS OFFICE</t>
  </si>
  <si>
    <t>ATHLETICS BROADCAST RIGHTS</t>
  </si>
  <si>
    <t>NURSING ACHIEV TESTS + CONFERS</t>
  </si>
  <si>
    <t>PHYSICAL ED OVERTIME SUPERVISION</t>
  </si>
  <si>
    <t>RANGE MGNT WORKSHOPS AND CAMPS</t>
  </si>
  <si>
    <t>STATISTICS DEPART PRODUCTION ACCT</t>
  </si>
  <si>
    <t>WYO FAMILY PRACT CASPER - PHARM</t>
  </si>
  <si>
    <t>ADULT ED NONCREDIT PROGRAMS</t>
  </si>
  <si>
    <t>ATHLETICS ADMIN BUSINESS OFFFICE</t>
  </si>
  <si>
    <t>OFF-CAMPUS COURSES VIA TELECONFER</t>
  </si>
  <si>
    <t>MISCELLANEOUS REV - ATHLETICS</t>
  </si>
  <si>
    <t>HOWARD, WINSTON S. DISTING PROF-INT</t>
  </si>
  <si>
    <t>VIDEO ED  INTERACTIVE NETWORK (VEIN)</t>
  </si>
  <si>
    <t>COE, W. R. ESTATE ADMIN EXPENSES</t>
  </si>
  <si>
    <t>COE, W. R. SCHOOL ADMINI EXPENSES</t>
  </si>
  <si>
    <t>COLLEGE OF AG - ROCHELLE CHAIR</t>
  </si>
  <si>
    <t>LAW, COLLEGE OF DISTING PROF FUND - CC</t>
  </si>
  <si>
    <t>RECYCLING</t>
  </si>
  <si>
    <t>VOCATIONAL EDUCATION</t>
  </si>
  <si>
    <t>12952</t>
  </si>
  <si>
    <t>422985</t>
  </si>
  <si>
    <t>ENGINEERING</t>
  </si>
  <si>
    <t>12953</t>
  </si>
  <si>
    <t>422986</t>
  </si>
  <si>
    <t>ARCHITECTURAL ENGINEERING</t>
  </si>
  <si>
    <t>12954</t>
  </si>
  <si>
    <t>422988</t>
  </si>
  <si>
    <t>12956</t>
  </si>
  <si>
    <t>422990</t>
  </si>
  <si>
    <t>MINERAL ENGINEERING</t>
  </si>
  <si>
    <t>12958</t>
  </si>
  <si>
    <t>422993</t>
  </si>
  <si>
    <t>PAUL STOCK HEALTH SCIENCES DEANS DISCRETIONARY</t>
  </si>
  <si>
    <t>12960</t>
  </si>
  <si>
    <t>422994</t>
  </si>
  <si>
    <t>12961</t>
  </si>
  <si>
    <t>422995</t>
  </si>
  <si>
    <t>12962</t>
  </si>
  <si>
    <t>423032</t>
  </si>
  <si>
    <t>CRAIG MARGARET ESTATE</t>
  </si>
  <si>
    <t>12971</t>
  </si>
  <si>
    <t>423033</t>
  </si>
  <si>
    <t>COE FOUNDATION ART DEPARTMENT</t>
  </si>
  <si>
    <t>12972</t>
  </si>
  <si>
    <t>423034</t>
  </si>
  <si>
    <t>COUN ED DISTINGUISHED ALUMNI AWARD</t>
  </si>
  <si>
    <t>12973</t>
  </si>
  <si>
    <t>423096</t>
  </si>
  <si>
    <t>ANNUAL FUND, HEALTH SCIENCES</t>
  </si>
  <si>
    <t>12994</t>
  </si>
  <si>
    <t>423110</t>
  </si>
  <si>
    <t>VOCATIONAL EDUCATION EQUIPMENT</t>
  </si>
  <si>
    <t>12997</t>
  </si>
  <si>
    <t>423113</t>
  </si>
  <si>
    <t>KAHN, BARBARA FOUNDATION FOR SPEECH CORRECTION</t>
  </si>
  <si>
    <t>12998</t>
  </si>
  <si>
    <t>423126</t>
  </si>
  <si>
    <t>NATURAL RESOURCES LAW CLINIC</t>
  </si>
  <si>
    <t>13003</t>
  </si>
  <si>
    <t>423128</t>
  </si>
  <si>
    <t>13005</t>
  </si>
  <si>
    <t>423130</t>
  </si>
  <si>
    <t>LAW COLLEGE FACULTY FUND</t>
  </si>
  <si>
    <t>13006</t>
  </si>
  <si>
    <t>423132</t>
  </si>
  <si>
    <t>WIND RIVER RESERVATION EXTENSION PROGRAM</t>
  </si>
  <si>
    <t>13007</t>
  </si>
  <si>
    <t>423133</t>
  </si>
  <si>
    <t>COOPERATIVE EXTENSION SERVICE</t>
  </si>
  <si>
    <t>13008</t>
  </si>
  <si>
    <t>423160</t>
  </si>
  <si>
    <t>LAW LIBRARY DEVELOPMENT</t>
  </si>
  <si>
    <t>13023</t>
  </si>
  <si>
    <t>423174</t>
  </si>
  <si>
    <t>WYOMING PHYSICAL EDUCATION TEACHERS NETWORK</t>
  </si>
  <si>
    <t>13031</t>
  </si>
  <si>
    <t>423180</t>
  </si>
  <si>
    <t>KUEHN, C.C. ESTATE ADMINISTRATIVE EXPENSES</t>
  </si>
  <si>
    <t>1601</t>
  </si>
  <si>
    <t>13035</t>
  </si>
  <si>
    <t>423181</t>
  </si>
  <si>
    <t>KUEHN, C.C. ESTATE AMERICAN STUDIES PROGRAM</t>
  </si>
  <si>
    <t>13036</t>
  </si>
  <si>
    <t>423182</t>
  </si>
  <si>
    <t>KUEHN, C. C. ESTATE AMERICAN HERITAGE CENTER</t>
  </si>
  <si>
    <t>13037</t>
  </si>
  <si>
    <t>423183</t>
  </si>
  <si>
    <t>KUEHN, C. C. ESTATE COLLEGE OF AGRICULTURE</t>
  </si>
  <si>
    <t>13038</t>
  </si>
  <si>
    <t>423194</t>
  </si>
  <si>
    <t>ART MUSEUM GALA</t>
  </si>
  <si>
    <t>13042</t>
  </si>
  <si>
    <t>423196</t>
  </si>
  <si>
    <t>13044</t>
  </si>
  <si>
    <t>423208</t>
  </si>
  <si>
    <t>IENR</t>
  </si>
  <si>
    <t>13053</t>
  </si>
  <si>
    <t>423231</t>
  </si>
  <si>
    <t>AHC/UNIV PROFESSORSHIP FUND</t>
  </si>
  <si>
    <t>16250</t>
  </si>
  <si>
    <t>423237</t>
  </si>
  <si>
    <t>ART MUSEUM ENDOWMENT</t>
  </si>
  <si>
    <t>16282</t>
  </si>
  <si>
    <t>423238</t>
  </si>
  <si>
    <t>ART MUSEUM MEMBERSHIP</t>
  </si>
  <si>
    <t>16283</t>
  </si>
  <si>
    <t>641234</t>
  </si>
  <si>
    <t>GUY, GEORGE F. MEMORIAL SCHOLARSHIP FUND</t>
  </si>
  <si>
    <t>4300</t>
  </si>
  <si>
    <t>13796</t>
  </si>
  <si>
    <t>641244</t>
  </si>
  <si>
    <t>HANSCUM, ROBERT MEMORIAL</t>
  </si>
  <si>
    <t>13798</t>
  </si>
  <si>
    <t>641252</t>
  </si>
  <si>
    <t>HICKEY, J. J. MEMORIAL UNDERPRIVLEDGED LAW STUDENTS</t>
  </si>
  <si>
    <t>13804</t>
  </si>
  <si>
    <t>641288</t>
  </si>
  <si>
    <t>JEFFREY, C. W. MEMORIAL</t>
  </si>
  <si>
    <t>13824</t>
  </si>
  <si>
    <t>641337</t>
  </si>
  <si>
    <t>LAW ANNUAL SCHOLARSHIPS</t>
  </si>
  <si>
    <t>13843</t>
  </si>
  <si>
    <t>641429</t>
  </si>
  <si>
    <t>13874</t>
  </si>
  <si>
    <t>641458</t>
  </si>
  <si>
    <t>PARKER, JUDGE GLENN SCHOLARSHIP IN LAW</t>
  </si>
  <si>
    <t>13886</t>
  </si>
  <si>
    <t>641473</t>
  </si>
  <si>
    <t>PENCE, AL LAW SCHOLARSHIP</t>
  </si>
  <si>
    <t>13894</t>
  </si>
  <si>
    <t>641543</t>
  </si>
  <si>
    <t>SULLIVAN, JOE LAW SCHOOL</t>
  </si>
  <si>
    <t>13919</t>
  </si>
  <si>
    <t>641549</t>
  </si>
  <si>
    <t>STOCK, PAUL FOUNDATION HEALTH SCIENCE</t>
  </si>
  <si>
    <t>13925</t>
  </si>
  <si>
    <t>641550</t>
  </si>
  <si>
    <t>STOCK, PAUL FOUNDATION LAW</t>
  </si>
  <si>
    <t>13926</t>
  </si>
  <si>
    <t>641622</t>
  </si>
  <si>
    <t>WARREN, FREDERICK E. LAW</t>
  </si>
  <si>
    <t>13958</t>
  </si>
  <si>
    <t>641671</t>
  </si>
  <si>
    <t>WATT BROTHERS LAW COLLEGE</t>
  </si>
  <si>
    <t>13981</t>
  </si>
  <si>
    <t>641729</t>
  </si>
  <si>
    <t>BUGAS, JOHN S. GIFTS IN ECONOMICS</t>
  </si>
  <si>
    <t>14000</t>
  </si>
  <si>
    <t>641742</t>
  </si>
  <si>
    <t>TRELEASE, FRANK J. LAW SCHOLARSHIP</t>
  </si>
  <si>
    <t>14005</t>
  </si>
  <si>
    <t>641755</t>
  </si>
  <si>
    <t>HAGOOD, LLOYD N.</t>
  </si>
  <si>
    <t>14009</t>
  </si>
  <si>
    <t>641870</t>
  </si>
  <si>
    <t>BROWN,DREW,APOSTOLOS,MASSEY,SULLIVAN LAW SCHOLAR-CENT CAMPGN</t>
  </si>
  <si>
    <t>14054</t>
  </si>
  <si>
    <t>641871</t>
  </si>
  <si>
    <t>LOWE, R. STANLEY LAW SCHOLARSHIP</t>
  </si>
  <si>
    <t>14055</t>
  </si>
  <si>
    <t>641893</t>
  </si>
  <si>
    <t>COLLEGE OF EDUCATION SCHOLARSHIP</t>
  </si>
  <si>
    <t>14067</t>
  </si>
  <si>
    <t>641983</t>
  </si>
  <si>
    <t>RUDOLPH, GEORGE E. LAW SCHOLARSHIP - INTEREST</t>
  </si>
  <si>
    <t>14124</t>
  </si>
  <si>
    <t>641987</t>
  </si>
  <si>
    <t>FERRALL, BARD SCHOLARSHIP FUND</t>
  </si>
  <si>
    <t>14127</t>
  </si>
  <si>
    <t>642022</t>
  </si>
  <si>
    <t>LAW SCHOOL SCHOLARSHIP</t>
  </si>
  <si>
    <t>14157</t>
  </si>
  <si>
    <t>642092</t>
  </si>
  <si>
    <t>LAW GENERAL SCHOLARSHIPS</t>
  </si>
  <si>
    <t>14219</t>
  </si>
  <si>
    <t>643506</t>
  </si>
  <si>
    <t>STROOCK, THOMAS F. AND MARTA F. ENDOWED CHAIR</t>
  </si>
  <si>
    <t>4400</t>
  </si>
  <si>
    <t>14409</t>
  </si>
  <si>
    <t>643550</t>
  </si>
  <si>
    <t>AMERICAN HERITAGE CENTER PROGRAMS - GIFTS</t>
  </si>
  <si>
    <t>14418</t>
  </si>
  <si>
    <t>643557</t>
  </si>
  <si>
    <t>HOWARD, WINSTON S. DISTINGUISHED PROFESSORSHIP-CM-INTEREST</t>
  </si>
  <si>
    <t>14425</t>
  </si>
  <si>
    <t>643568</t>
  </si>
  <si>
    <t>COLLEGE OF BUSINESS QUASI ENDOWMENT</t>
  </si>
  <si>
    <t>14435</t>
  </si>
  <si>
    <t>643583</t>
  </si>
  <si>
    <t>ELLBOGEN MERITORIOUS CLASSROOM TEACHING AWARDS</t>
  </si>
  <si>
    <t>14448</t>
  </si>
  <si>
    <t>643590</t>
  </si>
  <si>
    <t>FLITTIE SABBATICAL</t>
  </si>
  <si>
    <t>14454</t>
  </si>
  <si>
    <t>643593</t>
  </si>
  <si>
    <t>DEMARAY, ARTHUR ENDOWMENT FUND</t>
  </si>
  <si>
    <t>14456</t>
  </si>
  <si>
    <t>643601</t>
  </si>
  <si>
    <t>PROFESSIONAL NURSE AWARD FUND</t>
  </si>
  <si>
    <t>14464</t>
  </si>
  <si>
    <t>643606</t>
  </si>
  <si>
    <t>VIDEO EDUCATION INTERACTIVE NETWORK (VEIN)</t>
  </si>
  <si>
    <t>16116</t>
  </si>
  <si>
    <t>643616</t>
  </si>
  <si>
    <t>RUDOLPH, E. GEORGE DISTINGUISHED VISITING CHAIR IN LAW</t>
  </si>
  <si>
    <t>14478</t>
  </si>
  <si>
    <t>643619</t>
  </si>
  <si>
    <t>PERSON H T FUND</t>
  </si>
  <si>
    <t>16119</t>
  </si>
  <si>
    <t>643620</t>
  </si>
  <si>
    <t>COE, W. R. ESTATE ADMINISTRATIVE EXPENSES</t>
  </si>
  <si>
    <t>4401</t>
  </si>
  <si>
    <t>14482</t>
  </si>
  <si>
    <t>643621</t>
  </si>
  <si>
    <t>COE, W. R. ESTATE AMERICAN STUDIES PROGRAM</t>
  </si>
  <si>
    <t>14483</t>
  </si>
  <si>
    <t>643622</t>
  </si>
  <si>
    <t>COE, W. R. ESTATE PROFESSORSHIP CHAIR</t>
  </si>
  <si>
    <t>14484</t>
  </si>
  <si>
    <t>643630</t>
  </si>
  <si>
    <t>COE, W. R. SCHOOL ADMINISTRATIVE EXPENSES</t>
  </si>
  <si>
    <t>14485</t>
  </si>
  <si>
    <t>643631</t>
  </si>
  <si>
    <t>COE, W. R. SCHOOL AMERICAN STUDIES PROGRAM</t>
  </si>
  <si>
    <t>14486</t>
  </si>
  <si>
    <t>643632</t>
  </si>
  <si>
    <t>COE, W. R. SCHOOL AMERICAN HERITAGE CENTER</t>
  </si>
  <si>
    <t>14487</t>
  </si>
  <si>
    <t>643656</t>
  </si>
  <si>
    <t>JONES/DUNLAP BEQUEST</t>
  </si>
  <si>
    <t>14501</t>
  </si>
  <si>
    <t>643660</t>
  </si>
  <si>
    <t>GUTHRIE, JOHN A</t>
  </si>
  <si>
    <t>14505</t>
  </si>
  <si>
    <t>643681</t>
  </si>
  <si>
    <t>COLLEGE OF AGRICULTURE - ROCHELLE CHAIR</t>
  </si>
  <si>
    <t>16127</t>
  </si>
  <si>
    <t>643880</t>
  </si>
  <si>
    <t>LAW, COLLEGE OF DISTINGUISHED PROFFESSOR FUND - CC</t>
  </si>
  <si>
    <t>14520</t>
  </si>
  <si>
    <t>993822</t>
  </si>
  <si>
    <t>CLEO SCHOLARSHIP</t>
  </si>
  <si>
    <t>9060</t>
  </si>
  <si>
    <t>15157</t>
  </si>
  <si>
    <t>13</t>
  </si>
  <si>
    <t>ARTS &amp; SCI CULTURAL OUTREACH</t>
  </si>
  <si>
    <t>UNI  ART MUSEUM SALES GALLERY</t>
  </si>
  <si>
    <t>EFNEP - LAR PROFESSIONAL ADULT</t>
  </si>
  <si>
    <t>EFNEP - FRE PROFESSIONAL ADULT</t>
  </si>
  <si>
    <t>GUY, GEORGE F. MEM  SCHOLSP FD</t>
  </si>
  <si>
    <t>HICKEY, J. J. MEM UNDERPRIV LAW STU</t>
  </si>
  <si>
    <t>PARKER, JUDGE GLENN SCHOLSHIP LAW</t>
  </si>
  <si>
    <t>STOCK, PAUL FOUNDATION HEALTH SCI</t>
  </si>
  <si>
    <t>BROWN,DREW,APOSTOLOS,MASSEY</t>
  </si>
  <si>
    <t>RUDOLPH, GEORGE E. LAW SCHOL -INT</t>
  </si>
  <si>
    <t>STROOCK, THOMAS F. &amp; MARTA F. ENDOW</t>
  </si>
  <si>
    <t>AMER HERITAGE CENT PROGS - GIFTS</t>
  </si>
  <si>
    <t>COLLEGE OF BUS QUASI ENDOWMENT</t>
  </si>
  <si>
    <t>ELLBOGEN MERIT CLASSRM TEACH AWARD</t>
  </si>
  <si>
    <t>DEMARAY, ARTHUR ENDOWMENT FD</t>
  </si>
  <si>
    <t xml:space="preserve">RUDOLPH, E. GEORGE DISTING VISIT CHAIR </t>
  </si>
  <si>
    <t>COE, W. R. ESTATE AMER STUDIES PROG</t>
  </si>
  <si>
    <t>COE, W. R. ESTATE PROF CHAIR</t>
  </si>
  <si>
    <t>COE, W. R. SCHOOL AMER STUDIES PROG</t>
  </si>
  <si>
    <t>COE, W. R. SCHOOL AMER HERITAGE CENT</t>
  </si>
  <si>
    <t>EMPLOYER PAID BENEFITS - PUBLIC SERV</t>
  </si>
  <si>
    <t>ACCRUED LIMITED SERVICE - PUBLIC SERV</t>
  </si>
  <si>
    <t>HIGH SCHOOL PROG - MINORITY AFFAIRS</t>
  </si>
  <si>
    <t>CES - FAMILY &amp; CONSUMER SCI - STATE</t>
  </si>
  <si>
    <t>CES - AGRICULTURAL ECON - STATE</t>
  </si>
  <si>
    <t>CES - DIR OFFICE - ADMIN - STATE</t>
  </si>
  <si>
    <t>CES - AGRICULTURAL &amp; APPLIED ECON</t>
  </si>
  <si>
    <t>SMITH-LEVER - DIR'S OFFICE, ADMIN -1-3RD</t>
  </si>
  <si>
    <t>SMITH-LEVER - DIR'S OFF, ADMIN - 4TH QTR</t>
  </si>
  <si>
    <t>SMITH-LEVER FED RETIRE -  1-3RD QTRS</t>
  </si>
  <si>
    <t>SMITH-LEVER FED RETIRE -  4TH QTR</t>
  </si>
  <si>
    <t>INSTITUTE FOR ENVIR NATURAL RESC</t>
  </si>
  <si>
    <t>RESEARCH &amp;  EXTENSION CENTER-SHERIDAN</t>
  </si>
  <si>
    <t>AUXILIARY ENTERPRISES</t>
  </si>
  <si>
    <t>420103</t>
  </si>
  <si>
    <t>AIR FORCE UNIFORM PURCHASE - BASIC</t>
  </si>
  <si>
    <t>13070</t>
  </si>
  <si>
    <t>420114</t>
  </si>
  <si>
    <t>ALUMNI ASSOCIATION PAYROLL HANDLING</t>
  </si>
  <si>
    <t>13072</t>
  </si>
  <si>
    <t>420118</t>
  </si>
  <si>
    <t>ATMOSPHERIC SCIENCE PAYROLL HANDLING</t>
  </si>
  <si>
    <t>1900</t>
  </si>
  <si>
    <t>13606</t>
  </si>
  <si>
    <t>420132</t>
  </si>
  <si>
    <t>BROADCAST SERVICE - TV</t>
  </si>
  <si>
    <t>13076</t>
  </si>
  <si>
    <t>420134</t>
  </si>
  <si>
    <t>CHEMISTRY STOREROOM</t>
  </si>
  <si>
    <t>1800</t>
  </si>
  <si>
    <t>13572</t>
  </si>
  <si>
    <t>420138</t>
  </si>
  <si>
    <t>CAMPUS LABEL &amp; BULK MAIL SERVICE</t>
  </si>
  <si>
    <t>13573</t>
  </si>
  <si>
    <t>420140</t>
  </si>
  <si>
    <t>COPIER BILLING</t>
  </si>
  <si>
    <t>13574</t>
  </si>
  <si>
    <t>420143</t>
  </si>
  <si>
    <t>FLEXIBLE ENROLLMENT LIBRARY</t>
  </si>
  <si>
    <t>13077</t>
  </si>
  <si>
    <t>420145</t>
  </si>
  <si>
    <t>UNIVERSITY EXTENSION EDUCATORS - FULLY REIMBURSABLE</t>
  </si>
  <si>
    <t>13078</t>
  </si>
  <si>
    <t>420146</t>
  </si>
  <si>
    <t>UNIVERSITY EXTENSION EDUCATORS - PARTIALLY REIMBURSABLE</t>
  </si>
  <si>
    <t>13079</t>
  </si>
  <si>
    <t>420147</t>
  </si>
  <si>
    <t>CHEYENNE FAMILY PRACTICE INCOME REFUND ACCOUNT</t>
  </si>
  <si>
    <t>13080</t>
  </si>
  <si>
    <t>420148</t>
  </si>
  <si>
    <t>CASPER FAMILY PRACTICE INCOME REFUND ACCOUNT</t>
  </si>
  <si>
    <t>13081</t>
  </si>
  <si>
    <t>420150</t>
  </si>
  <si>
    <t>CHILD DEVELOPMENT CENTER</t>
  </si>
  <si>
    <t>13082</t>
  </si>
  <si>
    <t>420154</t>
  </si>
  <si>
    <t>DUPLICATING SERVICE</t>
  </si>
  <si>
    <t>13575</t>
  </si>
  <si>
    <t>420170</t>
  </si>
  <si>
    <t>ELDERHOSTEL - STATE</t>
  </si>
  <si>
    <t>13093</t>
  </si>
  <si>
    <t>420172</t>
  </si>
  <si>
    <t>4-H FOUNDATION SECRETARY</t>
  </si>
  <si>
    <t>13095</t>
  </si>
  <si>
    <t>420173</t>
  </si>
  <si>
    <t>GRAPHIC ARTS</t>
  </si>
  <si>
    <t>13577</t>
  </si>
  <si>
    <t>420178</t>
  </si>
  <si>
    <t>GEOLOGY COMPUTER OPERATIONS</t>
  </si>
  <si>
    <t>13098</t>
  </si>
  <si>
    <t>420197</t>
  </si>
  <si>
    <t>ATMOSPHERIC SCIENCE OPERATIONS</t>
  </si>
  <si>
    <t>13612</t>
  </si>
  <si>
    <t>420200</t>
  </si>
  <si>
    <t>NATRONA CO MEMORIAL HOSPITAL PHARMACY AGREEMENT</t>
  </si>
  <si>
    <t>13102</t>
  </si>
  <si>
    <t>420203</t>
  </si>
  <si>
    <t>PHYSICS LABORATORY USE</t>
  </si>
  <si>
    <t>13104</t>
  </si>
  <si>
    <t>420205</t>
  </si>
  <si>
    <t>FACILITY PLANNING CONSTRUCTION HANDLING ACCOUNT</t>
  </si>
  <si>
    <t>13615</t>
  </si>
  <si>
    <t>420207</t>
  </si>
  <si>
    <t>POSTAGE HANDLING</t>
  </si>
  <si>
    <t>13578</t>
  </si>
  <si>
    <t>420217</t>
  </si>
  <si>
    <t>PHYSICAL PLANT - REIMBURSABLE LABOR</t>
  </si>
  <si>
    <t>13580</t>
  </si>
  <si>
    <t>420226</t>
  </si>
  <si>
    <t>STORES</t>
  </si>
  <si>
    <t>13581</t>
  </si>
  <si>
    <t>420235</t>
  </si>
  <si>
    <t>TAPP-JELINEK</t>
  </si>
  <si>
    <t>13105</t>
  </si>
  <si>
    <t>420250</t>
  </si>
  <si>
    <t>WYO INFRARED OBSERVATORY HANDLING ACCOUNT</t>
  </si>
  <si>
    <t>13108</t>
  </si>
  <si>
    <t>420251</t>
  </si>
  <si>
    <t>WYOMING COOPERATIVE RESEARCH UNIT HANDLING</t>
  </si>
  <si>
    <t>13630</t>
  </si>
  <si>
    <t>420262</t>
  </si>
  <si>
    <t>PHOTO SERVICE</t>
  </si>
  <si>
    <t>13583</t>
  </si>
  <si>
    <t>420275</t>
  </si>
  <si>
    <t>SERVICE</t>
  </si>
  <si>
    <t>1000-1900</t>
  </si>
  <si>
    <t>ATHLETIC SALARY HANDLING</t>
  </si>
  <si>
    <t>13631</t>
  </si>
  <si>
    <t>420297</t>
  </si>
  <si>
    <t>ZOOLOGY DEPARTMENT SERVICES</t>
  </si>
  <si>
    <t>13113</t>
  </si>
  <si>
    <t>420318</t>
  </si>
  <si>
    <t>DATA COMMUNICATIONS SUPPORT</t>
  </si>
  <si>
    <t>13119</t>
  </si>
  <si>
    <t>420324</t>
  </si>
  <si>
    <t>MEDIA SERVICE ACCOUNT - CASPER</t>
  </si>
  <si>
    <t>13121</t>
  </si>
  <si>
    <t>420325</t>
  </si>
  <si>
    <t>MEDIA SERVICE ACCOUNT - CHEYENNE</t>
  </si>
  <si>
    <t>13122</t>
  </si>
  <si>
    <t>420328</t>
  </si>
  <si>
    <t>FUTURE PROBLEM SOLVING</t>
  </si>
  <si>
    <t>13124</t>
  </si>
  <si>
    <t>420350</t>
  </si>
  <si>
    <t>WYOMING-EASTERN COLORADO JR SCIENCE &amp; HUMANITIES SYMPOSIUM</t>
  </si>
  <si>
    <t>13128</t>
  </si>
  <si>
    <t>420353</t>
  </si>
  <si>
    <t>UNIVERSITY  FLEET OPERATIONS</t>
  </si>
  <si>
    <t>13585</t>
  </si>
  <si>
    <t>420365</t>
  </si>
  <si>
    <t>WYOMING SCHOOLS/UNIVERSITY PARTNERSHIP</t>
  </si>
  <si>
    <t>13130</t>
  </si>
  <si>
    <t>420372</t>
  </si>
  <si>
    <t>AIRCRAFT - CHEYENNE I - OPERATIONS</t>
  </si>
  <si>
    <t>13588</t>
  </si>
  <si>
    <t>420380</t>
  </si>
  <si>
    <t>CESSNA 414 AIRCRAFT RENTAL</t>
  </si>
  <si>
    <t>13589</t>
  </si>
  <si>
    <t>420386</t>
  </si>
  <si>
    <t>PLANT SCIENCES GENERAL COST REIMBURSEMENT</t>
  </si>
  <si>
    <t>13132</t>
  </si>
  <si>
    <t>420393</t>
  </si>
  <si>
    <t>CREDIT BY EXAM</t>
  </si>
  <si>
    <t>13134</t>
  </si>
  <si>
    <t>420397</t>
  </si>
  <si>
    <t>GEOGRAPHY/RECREATION SERVICE</t>
  </si>
  <si>
    <t>13135</t>
  </si>
  <si>
    <t>420399</t>
  </si>
  <si>
    <t>A &amp; S SHOPS - DIVISION OF RESEARCH SUPPORT</t>
  </si>
  <si>
    <t>13136</t>
  </si>
  <si>
    <t>420406</t>
  </si>
  <si>
    <t>CHEMICAL ABUSE RESEARCH AND EDUCATION (CARE) PROGRAM</t>
  </si>
  <si>
    <t>13137</t>
  </si>
  <si>
    <t>420410</t>
  </si>
  <si>
    <t>INTERNATIONAL RANGE MANAGEMENT PROGRAM</t>
  </si>
  <si>
    <t>13139</t>
  </si>
  <si>
    <t>420412</t>
  </si>
  <si>
    <t>ANIMAL CARE REVOLVING</t>
  </si>
  <si>
    <t>13140</t>
  </si>
  <si>
    <t>420418</t>
  </si>
  <si>
    <t>ACCT#</t>
  </si>
  <si>
    <t>ACCOUNT NAME</t>
  </si>
  <si>
    <t>TOTAL SCHOLARSHIPS</t>
  </si>
  <si>
    <t>TOTAL AGRICULTURE INSTRUCTION</t>
  </si>
  <si>
    <t xml:space="preserve">   COLLEGE OF ARTS AND SCIENCES</t>
  </si>
  <si>
    <t>VA CHEYENNE CLINICAL PHARMACY AGREEMENT</t>
  </si>
  <si>
    <t>13143</t>
  </si>
  <si>
    <t>420470</t>
  </si>
  <si>
    <t>MECHANICAL ENGINEERING SALARY HANDLING</t>
  </si>
  <si>
    <t>13674</t>
  </si>
  <si>
    <t>420476</t>
  </si>
  <si>
    <t>ISC - SUN COMPUTER USAGE</t>
  </si>
  <si>
    <t>13147</t>
  </si>
  <si>
    <t>420490</t>
  </si>
  <si>
    <t>FLEET OPERATIONS - CHARTER BUS</t>
  </si>
  <si>
    <t>13592</t>
  </si>
  <si>
    <t xml:space="preserve"> TOTAL SCHOOL OF HUMAN MEDICINE</t>
  </si>
  <si>
    <t>420493</t>
  </si>
  <si>
    <t>CES/WYOMING FORESTRY PROGRAM SALARY HANDLING</t>
  </si>
  <si>
    <t>13682</t>
  </si>
  <si>
    <t>420502</t>
  </si>
  <si>
    <t>NATRONA COUNTY SHERIFF - SALARY/SUPPLY HANDLING</t>
  </si>
  <si>
    <t>13151</t>
  </si>
  <si>
    <t>420504</t>
  </si>
  <si>
    <t>MATH REFUND</t>
  </si>
  <si>
    <t>13153</t>
  </si>
  <si>
    <t>420529</t>
  </si>
  <si>
    <t>INFORMATION TECHNOLOGY - MICRO RENTALS</t>
  </si>
  <si>
    <t>13594</t>
  </si>
  <si>
    <t>420533</t>
  </si>
  <si>
    <t>INFORMATION TECHNOLOGY - USER SUPPORT INSTALLATIONS</t>
  </si>
  <si>
    <t>13596</t>
  </si>
  <si>
    <t>420574</t>
  </si>
  <si>
    <t>WYNDD SALARY HANDLING ACCOUNT</t>
  </si>
  <si>
    <t>16336</t>
  </si>
  <si>
    <t>460000</t>
  </si>
  <si>
    <t>MCINTYRE HALL</t>
  </si>
  <si>
    <t>1301</t>
  </si>
  <si>
    <t>12513</t>
  </si>
  <si>
    <t>460010</t>
  </si>
  <si>
    <t>ORR HALL</t>
  </si>
  <si>
    <t>12514</t>
  </si>
  <si>
    <t>460020</t>
  </si>
  <si>
    <t>WASHAKIE CENTER CAFETERIA</t>
  </si>
  <si>
    <t>1302</t>
  </si>
  <si>
    <t>12546</t>
  </si>
  <si>
    <t>460040</t>
  </si>
  <si>
    <t>WHITE HALL</t>
  </si>
  <si>
    <t>12515</t>
  </si>
  <si>
    <t>460050</t>
  </si>
  <si>
    <t>WASHAKIE RECREATION AREA</t>
  </si>
  <si>
    <t>12516</t>
  </si>
  <si>
    <t>460060</t>
  </si>
  <si>
    <t>CRANE HALL</t>
  </si>
  <si>
    <t>12517</t>
  </si>
  <si>
    <t>460070</t>
  </si>
  <si>
    <t>DOWNEY HALL</t>
  </si>
  <si>
    <t>12518</t>
  </si>
  <si>
    <t>460080</t>
  </si>
  <si>
    <t>HILL HALL</t>
  </si>
  <si>
    <t>12519</t>
  </si>
  <si>
    <t>460090</t>
  </si>
  <si>
    <t>STUDENT APARTMENTS</t>
  </si>
  <si>
    <t>12520</t>
  </si>
  <si>
    <t>460100</t>
  </si>
  <si>
    <t>UNIVERSITY BOOKSTORE</t>
  </si>
  <si>
    <t>1303</t>
  </si>
  <si>
    <t>12552</t>
  </si>
  <si>
    <t>460120</t>
  </si>
  <si>
    <t>WYOMING UNION</t>
  </si>
  <si>
    <t>1304</t>
  </si>
  <si>
    <t>12554</t>
  </si>
  <si>
    <t>460150</t>
  </si>
  <si>
    <t>SPANISH WALK APARTMENTS</t>
  </si>
  <si>
    <t>12521</t>
  </si>
  <si>
    <t>460180</t>
  </si>
  <si>
    <t>LARAMIE PEAK APARTMENTS</t>
  </si>
  <si>
    <t>12522</t>
  </si>
  <si>
    <t>461010</t>
  </si>
  <si>
    <t>ADULT EDUCATION SPECIAL PROJECTS</t>
  </si>
  <si>
    <t>13417</t>
  </si>
  <si>
    <t>461150</t>
  </si>
  <si>
    <t>BUSINESS + ECONOMIC RESEARCH</t>
  </si>
  <si>
    <t>13419</t>
  </si>
  <si>
    <t>461170</t>
  </si>
  <si>
    <t>CURRICULUM + RESEARCH CENTER</t>
  </si>
  <si>
    <t>13420</t>
  </si>
  <si>
    <t>461180</t>
  </si>
  <si>
    <t>CAMPUS ID SYSTEM</t>
  </si>
  <si>
    <t>1306</t>
  </si>
  <si>
    <t>12563</t>
  </si>
  <si>
    <t>461190</t>
  </si>
  <si>
    <t>COMPUTING LABORATORY</t>
  </si>
  <si>
    <t>13598</t>
  </si>
  <si>
    <t>461200</t>
  </si>
  <si>
    <t>VENDING SERVICES</t>
  </si>
  <si>
    <t>1305</t>
  </si>
  <si>
    <t>12560</t>
  </si>
  <si>
    <t>461260</t>
  </si>
  <si>
    <t>DAY CARE CENTER</t>
  </si>
  <si>
    <t>1309</t>
  </si>
  <si>
    <t>12571</t>
  </si>
  <si>
    <t>461270</t>
  </si>
  <si>
    <t>ELEMENTARY MILK FUND</t>
  </si>
  <si>
    <t>13421</t>
  </si>
  <si>
    <t>461280</t>
  </si>
  <si>
    <t>RESIDENTS AND FACULTY ROTATION - CASPER</t>
  </si>
  <si>
    <t>13422</t>
  </si>
  <si>
    <t>461310</t>
  </si>
  <si>
    <t>HEALTH SERVICE - PHARMACY</t>
  </si>
  <si>
    <t>1310</t>
  </si>
  <si>
    <t>12572</t>
  </si>
  <si>
    <t>461320</t>
  </si>
  <si>
    <t>HOUSING DIRECTOR</t>
  </si>
  <si>
    <t>12525</t>
  </si>
  <si>
    <t>461360</t>
  </si>
  <si>
    <t>KNIGHT/WATKINS SCIENCE CAMP</t>
  </si>
  <si>
    <t>12547</t>
  </si>
  <si>
    <t>461370</t>
  </si>
  <si>
    <t>LIVESTOCK HANDLING ACCOUNT</t>
  </si>
  <si>
    <t>13425</t>
  </si>
  <si>
    <t>461380</t>
  </si>
  <si>
    <t>LAND AND WATER LAW REVIEW</t>
  </si>
  <si>
    <t>13426</t>
  </si>
  <si>
    <t>461410</t>
  </si>
  <si>
    <t>ORIENTATION AND RECRUITING</t>
  </si>
  <si>
    <t>13427</t>
  </si>
  <si>
    <t>461420</t>
  </si>
  <si>
    <t>PLANT SCIENCES SEED CERTIFICATION</t>
  </si>
  <si>
    <t>13428</t>
  </si>
  <si>
    <t>461500</t>
  </si>
  <si>
    <t>EDUCATION/NATURAL SCIENCES</t>
  </si>
  <si>
    <t>13429</t>
  </si>
  <si>
    <t>461520</t>
  </si>
  <si>
    <t>SUMMER MUSIC CAMP</t>
  </si>
  <si>
    <t>13430</t>
  </si>
  <si>
    <t>461540</t>
  </si>
  <si>
    <t>SERVICE &amp; AUXILIARY ENTERPRISES  DIRECTORS OFFICE</t>
  </si>
  <si>
    <t>1308</t>
  </si>
  <si>
    <t>12569</t>
  </si>
  <si>
    <t>461570</t>
  </si>
  <si>
    <t>SEO OPERATING ACCOUNT</t>
  </si>
  <si>
    <t>13431</t>
  </si>
  <si>
    <t>461610</t>
  </si>
  <si>
    <t>TEACHER PLACEMENT SERVICE</t>
  </si>
  <si>
    <t>13432</t>
  </si>
  <si>
    <t>461630</t>
  </si>
  <si>
    <t>CROP VARIETY EVALUATION</t>
  </si>
  <si>
    <t>13433</t>
  </si>
  <si>
    <t>461660</t>
  </si>
  <si>
    <t>UNIVERSITY THEATER</t>
  </si>
  <si>
    <t>13435</t>
  </si>
  <si>
    <t>461670</t>
  </si>
  <si>
    <t>UNIVERSITY GOLF COURSE</t>
  </si>
  <si>
    <t>13436</t>
  </si>
  <si>
    <t>461690</t>
  </si>
  <si>
    <t>UNIVERSITY SCHOOL ACTIVITES</t>
  </si>
  <si>
    <t>13437</t>
  </si>
  <si>
    <t>461710</t>
  </si>
  <si>
    <t>WOOL SCOURING PLANT</t>
  </si>
  <si>
    <t>13438</t>
  </si>
  <si>
    <t>461750</t>
  </si>
  <si>
    <t>WYOMING VETERINARY  LABORATORY</t>
  </si>
  <si>
    <t>13439</t>
  </si>
  <si>
    <t>461780</t>
  </si>
  <si>
    <t>ENGLISH SERVICES</t>
  </si>
  <si>
    <t>13440</t>
  </si>
  <si>
    <t>461860</t>
  </si>
  <si>
    <t>FAMILY PRACTICE, CASPER-HSIN</t>
  </si>
  <si>
    <t>13446</t>
  </si>
  <si>
    <t>461890</t>
  </si>
  <si>
    <t>HUMAN ENERGY RESEARCH LAB</t>
  </si>
  <si>
    <t>13448</t>
  </si>
  <si>
    <t>461900</t>
  </si>
  <si>
    <t>HSIN SERVICES</t>
  </si>
  <si>
    <t>13449</t>
  </si>
  <si>
    <t>461970</t>
  </si>
  <si>
    <t>LAW SCHOOL PUBLICATIONS</t>
  </si>
  <si>
    <t>13451</t>
  </si>
  <si>
    <t>461980</t>
  </si>
  <si>
    <t>LANGUAGE, SPEECH &amp; HEARING CLINIC</t>
  </si>
  <si>
    <t>13452</t>
  </si>
  <si>
    <t>462000</t>
  </si>
  <si>
    <t>MUSIC LESSON FEES</t>
  </si>
  <si>
    <t>13454</t>
  </si>
  <si>
    <t>462010</t>
  </si>
  <si>
    <t>NURSING ACHIEVEMENT TESTS + CONFERENCES</t>
  </si>
  <si>
    <t>13455</t>
  </si>
  <si>
    <t>462030</t>
  </si>
  <si>
    <t>OFF CAMPUS TEACHING</t>
  </si>
  <si>
    <t>13456</t>
  </si>
  <si>
    <t>462040</t>
  </si>
  <si>
    <t>PHYSICAL EDUCATION OPERATIONS</t>
  </si>
  <si>
    <t>13457</t>
  </si>
  <si>
    <t>462050</t>
  </si>
  <si>
    <t>PHYSICAL EDUCATION OVERTIME SUPERVISION</t>
  </si>
  <si>
    <t>13458</t>
  </si>
  <si>
    <t>462130</t>
  </si>
  <si>
    <t>RANGE MANAGEMENT WORKSHOPS AND CAMPS</t>
  </si>
  <si>
    <t>13462</t>
  </si>
  <si>
    <t>462150</t>
  </si>
  <si>
    <t>SUMMER FIELD COURSE - GEOLOGY</t>
  </si>
  <si>
    <t>13464</t>
  </si>
  <si>
    <t>462160</t>
  </si>
  <si>
    <t>12573</t>
  </si>
  <si>
    <t>462180</t>
  </si>
  <si>
    <t>SOIL TESTING</t>
  </si>
  <si>
    <t>13465</t>
  </si>
  <si>
    <t>462220</t>
  </si>
  <si>
    <t>SCHOOL DISTRICT 1 SCHOOL SUPPLY</t>
  </si>
  <si>
    <t>13467</t>
  </si>
  <si>
    <t>462250</t>
  </si>
  <si>
    <t>STATISTICS DEPARTMENT PRODUCTION ACCOUNT</t>
  </si>
  <si>
    <t>13470</t>
  </si>
  <si>
    <t>462280</t>
  </si>
  <si>
    <t>UNIVERSITY SCHOOL SUMMER PROGRAM</t>
  </si>
  <si>
    <t>13472</t>
  </si>
  <si>
    <t>462330</t>
  </si>
  <si>
    <t>WYOMING LAW INSTITUTE</t>
  </si>
  <si>
    <t>13473</t>
  </si>
  <si>
    <t>462340</t>
  </si>
  <si>
    <t>WYOMING PHARMACISTS SEMINAR</t>
  </si>
  <si>
    <t>13474</t>
  </si>
  <si>
    <t>462350</t>
  </si>
  <si>
    <t>WYOMING CONFERENCE ON ENGLISH</t>
  </si>
  <si>
    <t>13475</t>
  </si>
  <si>
    <t>462390</t>
  </si>
  <si>
    <t xml:space="preserve">     AES-State        </t>
  </si>
  <si>
    <t>WYO FAMILY PRACTICE CASPER - PHARMACY</t>
  </si>
  <si>
    <t>13478</t>
  </si>
  <si>
    <t>462410</t>
  </si>
  <si>
    <t>WRC - JANITORIAL SERVICE</t>
  </si>
  <si>
    <t>13479</t>
  </si>
  <si>
    <t>462430</t>
  </si>
  <si>
    <t>13481</t>
  </si>
  <si>
    <t>462440</t>
  </si>
  <si>
    <t>ARCHIVES-USERS SERVICE ACCOUNT</t>
  </si>
  <si>
    <t>13482</t>
  </si>
  <si>
    <t>462540</t>
  </si>
  <si>
    <t>COUNSELING CENTER</t>
  </si>
  <si>
    <t>13487</t>
  </si>
  <si>
    <t>462560</t>
  </si>
  <si>
    <t>CIVIL ENGINEERING TESTING SERVICE</t>
  </si>
  <si>
    <t>13488</t>
  </si>
  <si>
    <t>462580</t>
  </si>
  <si>
    <t>GEOLOGY CONTRIBUTIONS</t>
  </si>
  <si>
    <t>13489</t>
  </si>
  <si>
    <t>462590</t>
  </si>
  <si>
    <t>CAREER INFORMATION SYSTEM</t>
  </si>
  <si>
    <t>13490</t>
  </si>
  <si>
    <t>462610</t>
  </si>
  <si>
    <t>CIVIL TRIAL INSTITUTE</t>
  </si>
  <si>
    <t>13492</t>
  </si>
  <si>
    <t>462660</t>
  </si>
  <si>
    <t>EXTENSION CLASSES CREDIT PROGRAM</t>
  </si>
  <si>
    <t>13495</t>
  </si>
  <si>
    <t>462671</t>
  </si>
  <si>
    <t>CONFERENCES &amp; INSTITUTES</t>
  </si>
  <si>
    <t>13497</t>
  </si>
  <si>
    <t>462672</t>
  </si>
  <si>
    <t>ADULT EDUCATION NONCREDIT PROGRAMS</t>
  </si>
  <si>
    <t>13498</t>
  </si>
  <si>
    <t>462850</t>
  </si>
  <si>
    <t>ANACONDA COLLECTION FEES</t>
  </si>
  <si>
    <t>13505</t>
  </si>
  <si>
    <t>462880</t>
  </si>
  <si>
    <t>CHILD CARE PROVIDER ACCOUNT</t>
  </si>
  <si>
    <t>12537</t>
  </si>
  <si>
    <t>463140</t>
  </si>
  <si>
    <t>UNIVERSITY LICENSING</t>
  </si>
  <si>
    <t>1307</t>
  </si>
  <si>
    <t>12565</t>
  </si>
  <si>
    <t>463220</t>
  </si>
  <si>
    <t>CLUB SPORTS</t>
  </si>
  <si>
    <t>13508</t>
  </si>
  <si>
    <t>463240</t>
  </si>
  <si>
    <t>TENNIS</t>
  </si>
  <si>
    <t>1316</t>
  </si>
  <si>
    <t>12623</t>
  </si>
  <si>
    <t>463250</t>
  </si>
  <si>
    <t>UW ART MUSEUM EARNED INCOME</t>
  </si>
  <si>
    <t>13509</t>
  </si>
  <si>
    <t>463400</t>
  </si>
  <si>
    <t>TELECOMMUNICATIONS - OPERATIONS</t>
  </si>
  <si>
    <t>1315</t>
  </si>
  <si>
    <t>12575</t>
  </si>
  <si>
    <t>463580</t>
  </si>
  <si>
    <t>CONVENIENCE STORE II</t>
  </si>
  <si>
    <t>12549</t>
  </si>
  <si>
    <t>463850</t>
  </si>
  <si>
    <t>MISIC DEPARTMENT TICKET REVENUE</t>
  </si>
  <si>
    <t>13530</t>
  </si>
  <si>
    <t>463930</t>
  </si>
  <si>
    <t>OFF-CAMPUS COURSES VIA TELECONFERENCING</t>
  </si>
  <si>
    <t>13531</t>
  </si>
  <si>
    <t>464010</t>
  </si>
  <si>
    <t>FOOTBALL REVENUES</t>
  </si>
  <si>
    <t>12638</t>
  </si>
  <si>
    <t>464020</t>
  </si>
  <si>
    <t>MEN'S BASKETBALL REVENUES</t>
  </si>
  <si>
    <t>12639</t>
  </si>
  <si>
    <t>464030</t>
  </si>
  <si>
    <t>OTHER SPORTS REVENUES</t>
  </si>
  <si>
    <t>12640</t>
  </si>
  <si>
    <t>464040</t>
  </si>
  <si>
    <t>MISCELLANEOUS REVENUES - ATHLETICS</t>
  </si>
  <si>
    <t>12641</t>
  </si>
  <si>
    <t>464100</t>
  </si>
  <si>
    <t>COLUMBIA FUND</t>
  </si>
  <si>
    <t>13537</t>
  </si>
  <si>
    <t>464130</t>
  </si>
  <si>
    <t>FACILITY RENTAL-UNIVERSITY OF WYOMING CASPER COLLEGE</t>
  </si>
  <si>
    <t>13539</t>
  </si>
  <si>
    <t>464150</t>
  </si>
  <si>
    <t>ARTS &amp; SCIENCES CULTURAL OUTREACH</t>
  </si>
  <si>
    <t>13541</t>
  </si>
  <si>
    <t>464170</t>
  </si>
  <si>
    <t>UNIVERSITY ART MUSEUM SALES GALLERY</t>
  </si>
  <si>
    <t>13543</t>
  </si>
  <si>
    <t>464190</t>
  </si>
  <si>
    <t>ACCOUNTS RECEIVABLE OFFICE</t>
  </si>
  <si>
    <t>13545</t>
  </si>
  <si>
    <t>464200</t>
  </si>
  <si>
    <t>HEREFORD FUND</t>
  </si>
  <si>
    <t>13546</t>
  </si>
  <si>
    <t>464290</t>
  </si>
  <si>
    <t>MACINTOSH MICROCOMPUTER</t>
  </si>
  <si>
    <t>1312</t>
  </si>
  <si>
    <t>12574</t>
  </si>
  <si>
    <t>464380</t>
  </si>
  <si>
    <t>GRAB AND GO</t>
  </si>
  <si>
    <t>12551</t>
  </si>
  <si>
    <t>993009</t>
  </si>
  <si>
    <t>EDUCATION ACTIVITIES</t>
  </si>
  <si>
    <t>9050</t>
  </si>
  <si>
    <t>14873</t>
  </si>
  <si>
    <t>993033</t>
  </si>
  <si>
    <t>FOUNDATION SEED STOCK</t>
  </si>
  <si>
    <t>14887</t>
  </si>
  <si>
    <t>993059</t>
  </si>
  <si>
    <t>CANINE DISTEMPER</t>
  </si>
  <si>
    <t>14897</t>
  </si>
  <si>
    <t>993088</t>
  </si>
  <si>
    <t>STREAM HABITAT IMPROVEMENT PROJECT-JACOBS</t>
  </si>
  <si>
    <t>14918</t>
  </si>
  <si>
    <t>14</t>
  </si>
  <si>
    <t>ASUW</t>
  </si>
  <si>
    <t>422010</t>
  </si>
  <si>
    <t>INTRAMURAL AND RECREATIONAL SPORTS</t>
  </si>
  <si>
    <t>1400</t>
  </si>
  <si>
    <t>12676</t>
  </si>
  <si>
    <t>422012</t>
  </si>
  <si>
    <t>ASUW EXECUTIVE</t>
  </si>
  <si>
    <t>12677</t>
  </si>
  <si>
    <t>422013</t>
  </si>
  <si>
    <t>ASUW LEGISLATIVE</t>
  </si>
  <si>
    <t>12678</t>
  </si>
  <si>
    <t>422015</t>
  </si>
  <si>
    <t>ASUW BUSINESS OFFICE</t>
  </si>
  <si>
    <t>12680</t>
  </si>
  <si>
    <t>422017</t>
  </si>
  <si>
    <t>ASTEC</t>
  </si>
  <si>
    <t>12682</t>
  </si>
  <si>
    <t>422020</t>
  </si>
  <si>
    <t>STUDENTS ATTORNEY</t>
  </si>
  <si>
    <t>12684</t>
  </si>
  <si>
    <t>422041</t>
  </si>
  <si>
    <t>STUDENT PUBLICATIONS</t>
  </si>
  <si>
    <t>1401</t>
  </si>
  <si>
    <t>12692</t>
  </si>
  <si>
    <t>422047</t>
  </si>
  <si>
    <t>BRANDING IRON</t>
  </si>
  <si>
    <t>12693</t>
  </si>
  <si>
    <t>422049</t>
  </si>
  <si>
    <t>FRONTIERS</t>
  </si>
  <si>
    <t>12694</t>
  </si>
  <si>
    <t>422050</t>
  </si>
  <si>
    <t>OWEN WISTER REVIEW MAGAZINE</t>
  </si>
  <si>
    <t>12695</t>
  </si>
  <si>
    <t>422090</t>
  </si>
  <si>
    <t>UNION/ASUW ACTIVITIES</t>
  </si>
  <si>
    <t>13403</t>
  </si>
  <si>
    <t>16</t>
  </si>
  <si>
    <t>ATHLETICS II</t>
  </si>
  <si>
    <t>422921</t>
  </si>
  <si>
    <t>INTERCOLLEGIATE ATHLETICS</t>
  </si>
  <si>
    <t>12901</t>
  </si>
  <si>
    <t>423040</t>
  </si>
  <si>
    <t>COWBOY JOE CLUB OPERATIONS</t>
  </si>
  <si>
    <t>12978</t>
  </si>
  <si>
    <t>461920</t>
  </si>
  <si>
    <t>ATHLETIC DIRECTORS OFFICE</t>
  </si>
  <si>
    <t>12591</t>
  </si>
  <si>
    <t>461930</t>
  </si>
  <si>
    <t>INTERCOLLEGIATE ATHLETICS BROADCAST RIGHTS</t>
  </si>
  <si>
    <t>12592</t>
  </si>
  <si>
    <t>462900</t>
  </si>
  <si>
    <t>ATHLETICS ADMINISTRATION BUSINESS OFFFICE</t>
  </si>
  <si>
    <t>12595</t>
  </si>
  <si>
    <t>462920</t>
  </si>
  <si>
    <t>12597</t>
  </si>
  <si>
    <t>462930</t>
  </si>
  <si>
    <t>12598</t>
  </si>
  <si>
    <t>462940</t>
  </si>
  <si>
    <t>12599</t>
  </si>
  <si>
    <t>462950</t>
  </si>
  <si>
    <t>12600</t>
  </si>
  <si>
    <t>462960</t>
  </si>
  <si>
    <t>12601</t>
  </si>
  <si>
    <t>462990</t>
  </si>
  <si>
    <t>12604</t>
  </si>
  <si>
    <t>463000</t>
  </si>
  <si>
    <t>12605</t>
  </si>
  <si>
    <t>463010</t>
  </si>
  <si>
    <t>12606</t>
  </si>
  <si>
    <t>463020</t>
  </si>
  <si>
    <t>12607</t>
  </si>
  <si>
    <t>463030</t>
  </si>
  <si>
    <t>VOLLEYBALL</t>
  </si>
  <si>
    <t>12608</t>
  </si>
  <si>
    <t>463040</t>
  </si>
  <si>
    <t>12609</t>
  </si>
  <si>
    <t>463050</t>
  </si>
  <si>
    <t>ACADMEIC COUNSELOR</t>
  </si>
  <si>
    <t>12610</t>
  </si>
  <si>
    <t>463060</t>
  </si>
  <si>
    <t>WEIGHT ROOM</t>
  </si>
  <si>
    <t>12611</t>
  </si>
  <si>
    <t>463070</t>
  </si>
  <si>
    <t>TICKET OFFICE</t>
  </si>
  <si>
    <t>12612</t>
  </si>
  <si>
    <t>463080</t>
  </si>
  <si>
    <t>EQUIPMENT ROOM</t>
  </si>
  <si>
    <t>12613</t>
  </si>
  <si>
    <t>463090</t>
  </si>
  <si>
    <t>12614</t>
  </si>
  <si>
    <t>463100</t>
  </si>
  <si>
    <t>SOCCER</t>
  </si>
  <si>
    <t>12615</t>
  </si>
  <si>
    <t>463110</t>
  </si>
  <si>
    <t>CONCESSIONS</t>
  </si>
  <si>
    <t>12616</t>
  </si>
  <si>
    <t>463130</t>
  </si>
  <si>
    <t>12617</t>
  </si>
  <si>
    <t>463150</t>
  </si>
  <si>
    <t>12618</t>
  </si>
  <si>
    <t>463180</t>
  </si>
  <si>
    <t>ATHLETICS - PROMOTIONS &amp; MARKETING</t>
  </si>
  <si>
    <t>12619</t>
  </si>
  <si>
    <t>463200</t>
  </si>
  <si>
    <t>PARKING</t>
  </si>
  <si>
    <t>12620</t>
  </si>
  <si>
    <t>463510</t>
  </si>
  <si>
    <t>12625</t>
  </si>
  <si>
    <t>463790</t>
  </si>
  <si>
    <t>GAME MANAGEMENT</t>
  </si>
  <si>
    <t>12628</t>
  </si>
  <si>
    <t>463880</t>
  </si>
  <si>
    <t>COWBOY SHOOTOUT</t>
  </si>
  <si>
    <t>12632</t>
  </si>
  <si>
    <t>463900</t>
  </si>
  <si>
    <t>NORTH END ZONE COMPLEX</t>
  </si>
  <si>
    <t>12634</t>
  </si>
  <si>
    <t>463910</t>
  </si>
  <si>
    <t>SPECIAL ATHLETIC EVENTS</t>
  </si>
  <si>
    <t>12635</t>
  </si>
  <si>
    <t>993006</t>
  </si>
  <si>
    <t>COWBOY JOE CLUB</t>
  </si>
  <si>
    <t>9030</t>
  </si>
  <si>
    <t>14870</t>
  </si>
  <si>
    <t>BY</t>
  </si>
  <si>
    <t>ADMIN</t>
  </si>
  <si>
    <t>FTE</t>
  </si>
  <si>
    <t>FACULTY</t>
  </si>
  <si>
    <t>STAFF</t>
  </si>
  <si>
    <t>PERSONAL</t>
  </si>
  <si>
    <t>SERVICES</t>
  </si>
  <si>
    <t>FULL-TIME</t>
  </si>
  <si>
    <t>PART-TIME</t>
  </si>
  <si>
    <t>EMPLOYER</t>
  </si>
  <si>
    <t>PAID</t>
  </si>
  <si>
    <t>BENEFITS</t>
  </si>
  <si>
    <t>SUPPORT</t>
  </si>
  <si>
    <t>GRANTS</t>
  </si>
  <si>
    <t>&amp; AID</t>
  </si>
  <si>
    <t>PAYMENTS</t>
  </si>
  <si>
    <t>NON-OP</t>
  </si>
  <si>
    <t>EXPEND</t>
  </si>
  <si>
    <t>SPECIAL</t>
  </si>
  <si>
    <t>For review:</t>
  </si>
  <si>
    <t>Division</t>
  </si>
  <si>
    <t>Function</t>
  </si>
  <si>
    <t>Function Name</t>
  </si>
  <si>
    <t>Account</t>
  </si>
  <si>
    <t>Account_Name</t>
  </si>
  <si>
    <t>FUND_CODE</t>
  </si>
  <si>
    <t>DEPTID</t>
  </si>
  <si>
    <t>PROJECT_ID</t>
  </si>
  <si>
    <t>BUDGET_YEAR</t>
  </si>
  <si>
    <t>Admin_FTE</t>
  </si>
  <si>
    <t>Faculty_FTE</t>
  </si>
  <si>
    <t>Staff_FTE</t>
  </si>
  <si>
    <t>Pro_FTE</t>
  </si>
  <si>
    <t>Object_CD_4000</t>
  </si>
  <si>
    <t>TOTAL</t>
  </si>
  <si>
    <t>310</t>
  </si>
  <si>
    <t>01</t>
  </si>
  <si>
    <t>SCHOLARSHIP &amp; FELLOWSHIP</t>
  </si>
  <si>
    <t>201020</t>
  </si>
  <si>
    <t>COUNTY COMMISSIONERS SCHOLARSHIPS</t>
  </si>
  <si>
    <t>1100</t>
  </si>
  <si>
    <t>12042</t>
  </si>
  <si>
    <t/>
  </si>
  <si>
    <t>2000</t>
  </si>
  <si>
    <t>201040</t>
  </si>
  <si>
    <t>DEBATE SCHOLARSHIPS</t>
  </si>
  <si>
    <t>12043</t>
  </si>
  <si>
    <t>201060</t>
  </si>
  <si>
    <t>GRADUATE ASSISTANTSHIPS</t>
  </si>
  <si>
    <t>12044</t>
  </si>
  <si>
    <t>201080</t>
  </si>
  <si>
    <t>GRADUATE SCHOOL SCHOLARSHIPS</t>
  </si>
  <si>
    <t>12045</t>
  </si>
  <si>
    <t>201100</t>
  </si>
  <si>
    <t>HONOR SCHOLARSHIPS</t>
  </si>
  <si>
    <t>12046</t>
  </si>
  <si>
    <t>201120</t>
  </si>
  <si>
    <t>LAW SERVICE SCHOLARSHIPS</t>
  </si>
  <si>
    <t>12047</t>
  </si>
  <si>
    <t>201140</t>
  </si>
  <si>
    <t>MARCHING BAND SCHOLARSHIPS</t>
  </si>
  <si>
    <t>12048</t>
  </si>
  <si>
    <t>201160</t>
  </si>
  <si>
    <t>MUSIC SCHOLARSHIPS</t>
  </si>
  <si>
    <t>12049</t>
  </si>
  <si>
    <t>201180</t>
  </si>
  <si>
    <t>RODEO TEAM SCHOLARSHIPS</t>
  </si>
  <si>
    <t>12050</t>
  </si>
  <si>
    <t>201190</t>
  </si>
  <si>
    <t>ROTC ROOM AND BOARD</t>
  </si>
  <si>
    <t>12051</t>
  </si>
  <si>
    <t>201200</t>
  </si>
  <si>
    <t>SPECIAL SERVICES STIPENDS</t>
  </si>
  <si>
    <t>12052</t>
  </si>
  <si>
    <t>201220</t>
  </si>
  <si>
    <t>SUMMER INSTITUTE SCHOLARSHIPS</t>
  </si>
  <si>
    <t>12053</t>
  </si>
  <si>
    <t>201240</t>
  </si>
  <si>
    <t>SUPERIOR STUDENT SCHOLARSHIPS</t>
  </si>
  <si>
    <t>12054</t>
  </si>
  <si>
    <t>201260</t>
  </si>
  <si>
    <t>Object_CD_4001</t>
  </si>
  <si>
    <t>Object_CD_4002</t>
  </si>
  <si>
    <t>Object_CD_4003</t>
  </si>
  <si>
    <t>SUMMER SCHOOL AGRICULTURE - EPB</t>
  </si>
  <si>
    <t>SUMMER SCHOOL - A &amp; S - EPB</t>
  </si>
  <si>
    <t>SUMMER SCHOOL- BUSINESS - EPB</t>
  </si>
  <si>
    <t>SUMMER SCHOOL - EDUCATION - EPB</t>
  </si>
  <si>
    <t>SUMMER SCHOOL - ENGINEERING - EPB</t>
  </si>
  <si>
    <t>SUMMER SCHOOL - HEALTH SCIENCE - EPB</t>
  </si>
  <si>
    <t>SUPERIOR STUDENT IN EDUCATION SCHOLARSHIPS</t>
  </si>
  <si>
    <t>12055</t>
  </si>
  <si>
    <t>201280</t>
  </si>
  <si>
    <t>THEATRE SCHOLARSHIPS</t>
  </si>
  <si>
    <t>12056</t>
  </si>
  <si>
    <t>201300</t>
  </si>
  <si>
    <t>UNIVERSITY SCHOLARS SCHOLARSHIPS</t>
  </si>
  <si>
    <t>12057</t>
  </si>
  <si>
    <t>201320</t>
  </si>
  <si>
    <t>VIETNAM VETERANS AWARDS</t>
  </si>
  <si>
    <t>12058</t>
  </si>
  <si>
    <t>201340</t>
  </si>
  <si>
    <t>YOUTH OPPORTUNITY GRANTS</t>
  </si>
  <si>
    <t>12059</t>
  </si>
  <si>
    <t>201360</t>
  </si>
  <si>
    <t>WYOMING EXCELLENCE</t>
  </si>
  <si>
    <t>12060</t>
  </si>
  <si>
    <t>201400</t>
  </si>
  <si>
    <t>WYOMING STUDENT LEADER</t>
  </si>
  <si>
    <t>12062</t>
  </si>
  <si>
    <t>201500</t>
  </si>
  <si>
    <t>MISCELLANEOUS SCHOLARSHIPS</t>
  </si>
  <si>
    <t>12065</t>
  </si>
  <si>
    <t>201740</t>
  </si>
  <si>
    <t>SEOG MATCH</t>
  </si>
  <si>
    <t>12066</t>
  </si>
  <si>
    <t>202000</t>
  </si>
  <si>
    <t>DEPARTMENT FUNDED SCHOLARSHIPS</t>
  </si>
  <si>
    <t>12067</t>
  </si>
  <si>
    <t>150</t>
  </si>
  <si>
    <t>02</t>
  </si>
  <si>
    <t>INSTRUCTION</t>
  </si>
  <si>
    <t>205000</t>
  </si>
  <si>
    <t>EMPLOYER PAID BENEFITS - INSTRUCTION</t>
  </si>
  <si>
    <t>12069</t>
  </si>
  <si>
    <t>205010</t>
  </si>
  <si>
    <t>ACCRUED LIMITED SERVICE - INSTRUCTION</t>
  </si>
  <si>
    <t>12072</t>
  </si>
  <si>
    <t>205040</t>
  </si>
  <si>
    <t>ERIP INSTRUCTION</t>
  </si>
  <si>
    <t>12074</t>
  </si>
  <si>
    <t>410</t>
  </si>
  <si>
    <t>205100</t>
  </si>
  <si>
    <t>SUMMER SESSION - AGRICULTURE - EPB</t>
  </si>
  <si>
    <t>12076</t>
  </si>
  <si>
    <t>205110</t>
  </si>
  <si>
    <t>SUMMER SESSION - ARTS AND SCIENCES - EPB</t>
  </si>
  <si>
    <t>12077</t>
  </si>
  <si>
    <t>205120</t>
  </si>
  <si>
    <t>SUMMER SESSION - BUSINESS - EPB</t>
  </si>
  <si>
    <t>12078</t>
  </si>
  <si>
    <t>205130</t>
  </si>
  <si>
    <t>SUMMER SESSION - EDUCATION - EPB</t>
  </si>
  <si>
    <t>12079</t>
  </si>
  <si>
    <t>205140</t>
  </si>
  <si>
    <t>SUMMER SESSION - ENGINEERING - EPB</t>
  </si>
  <si>
    <t>12080</t>
  </si>
  <si>
    <t>205150</t>
  </si>
  <si>
    <t>SUMMER SESSION - HEALTH SCIENCES - EPB</t>
  </si>
  <si>
    <t>12081</t>
  </si>
  <si>
    <t>220</t>
  </si>
  <si>
    <t>206000</t>
  </si>
  <si>
    <t>INSTRUCTION - COLLEGE OF AGRICULTURE</t>
  </si>
  <si>
    <t>15300</t>
  </si>
  <si>
    <t>206010</t>
  </si>
  <si>
    <t>INSTRUCTION - AGRICULTURE ADMINISTRATION</t>
  </si>
  <si>
    <t>15206</t>
  </si>
  <si>
    <t>206020</t>
  </si>
  <si>
    <t>INSTRUCTION - AGRICULTURE ASSOCIATE DEAN</t>
  </si>
  <si>
    <t>15210</t>
  </si>
  <si>
    <t>206030</t>
  </si>
  <si>
    <t>INSTRUCTION - AGRICULTURE RESERVE</t>
  </si>
  <si>
    <t>15207</t>
  </si>
  <si>
    <t>206040</t>
  </si>
  <si>
    <t>AGRICULTURE SUMMER SCHOOL</t>
  </si>
  <si>
    <t>15211</t>
  </si>
  <si>
    <t>206100</t>
  </si>
  <si>
    <t>AGRICULTURAL &amp; APPLIED ECONOMICS</t>
  </si>
  <si>
    <t>15230</t>
  </si>
  <si>
    <t>206110</t>
  </si>
  <si>
    <t>15239</t>
  </si>
  <si>
    <t>206300</t>
  </si>
  <si>
    <t>ANIMAL SCIENCE</t>
  </si>
  <si>
    <t>15240</t>
  </si>
  <si>
    <t>206310</t>
  </si>
  <si>
    <t>15249</t>
  </si>
  <si>
    <t>206400</t>
  </si>
  <si>
    <t>MOLECULAR BIOLOGY</t>
  </si>
  <si>
    <t>15260</t>
  </si>
  <si>
    <t>206410</t>
  </si>
  <si>
    <t>15269</t>
  </si>
  <si>
    <t>206500</t>
  </si>
  <si>
    <t>FAMILY &amp; CONSUMER SCIENCES</t>
  </si>
  <si>
    <t>15250</t>
  </si>
  <si>
    <t>206510</t>
  </si>
  <si>
    <t>15259</t>
  </si>
  <si>
    <t>206600</t>
  </si>
  <si>
    <t>VETERINARY SCIENCE</t>
  </si>
  <si>
    <t>15290</t>
  </si>
  <si>
    <t>206610</t>
  </si>
  <si>
    <t>VETERINARY SCIENCE/WYOMING STATE VETERINARY LABORATORY</t>
  </si>
  <si>
    <t>15299</t>
  </si>
  <si>
    <t>206800</t>
  </si>
  <si>
    <t>PLANT SCIENCES</t>
  </si>
  <si>
    <t>15270</t>
  </si>
  <si>
    <t>206810</t>
  </si>
  <si>
    <t>15279</t>
  </si>
  <si>
    <t>206900</t>
  </si>
  <si>
    <t>RENEWABLE RESOURCES</t>
  </si>
  <si>
    <t>15280</t>
  </si>
  <si>
    <t>206910</t>
  </si>
  <si>
    <t>15289</t>
  </si>
  <si>
    <t>210</t>
  </si>
  <si>
    <t>210100</t>
  </si>
  <si>
    <t>INSTRUCTION - COLLEGE OF ARTS &amp; SCIENCES</t>
  </si>
  <si>
    <t>12115</t>
  </si>
  <si>
    <t>210110</t>
  </si>
  <si>
    <t>GRADUATE ASSISTANTS - COLLEGE OF ARTS &amp; SCIENCES</t>
  </si>
  <si>
    <t>12117</t>
  </si>
  <si>
    <t>210130</t>
  </si>
  <si>
    <t>ARTS &amp; SCIENCES SUMMER SCHOOL</t>
  </si>
  <si>
    <t>12118</t>
  </si>
  <si>
    <t>210150</t>
  </si>
  <si>
    <t>ANTHROPOLOGY</t>
  </si>
  <si>
    <t>12120</t>
  </si>
  <si>
    <t>210170</t>
  </si>
  <si>
    <t>AMERICAN STUDIES</t>
  </si>
  <si>
    <t>12121</t>
  </si>
  <si>
    <t>210200</t>
  </si>
  <si>
    <t>ART</t>
  </si>
  <si>
    <t>12122</t>
  </si>
  <si>
    <t>210300</t>
  </si>
  <si>
    <t>BOTANY</t>
  </si>
  <si>
    <t>12123</t>
  </si>
  <si>
    <t>210350</t>
  </si>
  <si>
    <t>CHEMISTRY</t>
  </si>
  <si>
    <t>12125</t>
  </si>
  <si>
    <t>210370</t>
  </si>
  <si>
    <t>CHICANO STUDIES</t>
  </si>
  <si>
    <t>16358</t>
  </si>
  <si>
    <t>210400</t>
  </si>
  <si>
    <t>COMPUTER SCIENCE</t>
  </si>
  <si>
    <t>12127</t>
  </si>
  <si>
    <t>210450</t>
  </si>
  <si>
    <t>COMMUNICATION &amp; MASS MEDIA</t>
  </si>
  <si>
    <t>12129</t>
  </si>
  <si>
    <t>210500</t>
  </si>
  <si>
    <t>ENGLISH</t>
  </si>
  <si>
    <t>12130</t>
  </si>
  <si>
    <t>210510</t>
  </si>
  <si>
    <t>RELIGIOUS STUDIES</t>
  </si>
  <si>
    <t>12131</t>
  </si>
  <si>
    <t>210550</t>
  </si>
  <si>
    <t>FORENSICS</t>
  </si>
  <si>
    <t>12132</t>
  </si>
  <si>
    <t>210600</t>
  </si>
  <si>
    <t>GEOGRAPHY</t>
  </si>
  <si>
    <t>12133</t>
  </si>
  <si>
    <t>210650</t>
  </si>
  <si>
    <t>GEOLOGY &amp; GEOPHYSICS</t>
  </si>
  <si>
    <t>12134</t>
  </si>
  <si>
    <t>210750</t>
  </si>
  <si>
    <t>HISTORY</t>
  </si>
  <si>
    <t>12136</t>
  </si>
  <si>
    <t>210850</t>
  </si>
  <si>
    <t>MATHEMATICS</t>
  </si>
  <si>
    <t>12137</t>
  </si>
  <si>
    <t>210900</t>
  </si>
  <si>
    <t>MODERN &amp; CLASSICAL LANGUAGES</t>
  </si>
  <si>
    <t>12138</t>
  </si>
  <si>
    <t>210950</t>
  </si>
  <si>
    <t>MUSIC</t>
  </si>
  <si>
    <t>12139</t>
  </si>
  <si>
    <t>211050</t>
  </si>
  <si>
    <t>PHILOSOPHY</t>
  </si>
  <si>
    <t>12142</t>
  </si>
  <si>
    <t>211100</t>
  </si>
  <si>
    <t>PHYSICS &amp; ASTRONOMY</t>
  </si>
  <si>
    <t>12144</t>
  </si>
  <si>
    <t>211150</t>
  </si>
  <si>
    <t>POLITICAL SCIENCE</t>
  </si>
  <si>
    <t>12148</t>
  </si>
  <si>
    <t>211170</t>
  </si>
  <si>
    <t>INTERNATIONAL STUDIES</t>
  </si>
  <si>
    <t>12149</t>
  </si>
  <si>
    <t>211200</t>
  </si>
  <si>
    <t>PSYCHOLOGY</t>
  </si>
  <si>
    <t>12151</t>
  </si>
  <si>
    <t>211350</t>
  </si>
  <si>
    <t>SOCIOLOGY</t>
  </si>
  <si>
    <t>12153</t>
  </si>
  <si>
    <t>211370</t>
  </si>
  <si>
    <t>STATISTICS</t>
  </si>
  <si>
    <t>12154</t>
  </si>
  <si>
    <t>211400</t>
  </si>
  <si>
    <t>THEATRE &amp; DANCE</t>
  </si>
  <si>
    <t>12155</t>
  </si>
  <si>
    <t>211550</t>
  </si>
  <si>
    <t>ZOOLOGY &amp; PHYSIOLOGY</t>
  </si>
  <si>
    <t>12156</t>
  </si>
  <si>
    <t>211600</t>
  </si>
  <si>
    <t>A &amp; S/NATURAL SCIENCE</t>
  </si>
  <si>
    <t>12159</t>
  </si>
  <si>
    <t>200</t>
  </si>
  <si>
    <t>211650</t>
  </si>
  <si>
    <t>UNIVERSITY HONORS PROGRAM</t>
  </si>
  <si>
    <t>12160</t>
  </si>
  <si>
    <t>211940</t>
  </si>
  <si>
    <t>ADMINISTRATION OF JUSTICE</t>
  </si>
  <si>
    <t>12180</t>
  </si>
  <si>
    <t>211950</t>
  </si>
  <si>
    <t>WOMENS STUDIES</t>
  </si>
  <si>
    <t>12181</t>
  </si>
  <si>
    <t>230</t>
  </si>
  <si>
    <t>212000</t>
  </si>
  <si>
    <t>INSTRUCTION - COLLEGE OF BUSINESS</t>
  </si>
  <si>
    <t>12183</t>
  </si>
  <si>
    <t>212010</t>
  </si>
  <si>
    <t>BUSINESS SUMMER SCHOOL</t>
  </si>
  <si>
    <t>12185</t>
  </si>
  <si>
    <t>212040</t>
  </si>
  <si>
    <t>GRADUATE BUSINESS PROGRAMS - COLLEGE OF BUSINESS</t>
  </si>
  <si>
    <t>12186</t>
  </si>
  <si>
    <t>212050</t>
  </si>
  <si>
    <t>ACCOUNTING</t>
  </si>
  <si>
    <t>12187</t>
  </si>
  <si>
    <t>212100</t>
  </si>
  <si>
    <t>MANAGEMENT &amp; MARKETING</t>
  </si>
  <si>
    <t>12189</t>
  </si>
  <si>
    <t>212150</t>
  </si>
  <si>
    <t>ECONOMICS &amp; FINANCE</t>
  </si>
  <si>
    <t>12190</t>
  </si>
  <si>
    <t>270</t>
  </si>
  <si>
    <t>213100</t>
  </si>
  <si>
    <t>INSTRUCTION - COLLEGE OF EDUCATION</t>
  </si>
  <si>
    <t>12191</t>
  </si>
  <si>
    <t>213110</t>
  </si>
  <si>
    <t>EDUCATION SUMMER SCHOOL</t>
  </si>
  <si>
    <t>12193</t>
  </si>
  <si>
    <t>213120</t>
  </si>
  <si>
    <t>EDUCATION/PARTNERSHIP</t>
  </si>
  <si>
    <t>12194</t>
  </si>
  <si>
    <t>213130</t>
  </si>
  <si>
    <t>EDUCATION/NATURAL SCIENCE</t>
  </si>
  <si>
    <t>12195</t>
  </si>
  <si>
    <t>213150</t>
  </si>
  <si>
    <t>UNDERGRADUATE STUDIES</t>
  </si>
  <si>
    <t>12196</t>
  </si>
  <si>
    <t>213200</t>
  </si>
  <si>
    <t>WYOMING CENTER FOR TEACHING &amp; LEARNING</t>
  </si>
  <si>
    <t>12198</t>
  </si>
  <si>
    <t>213210</t>
  </si>
  <si>
    <t>ED/CNSL &amp; ED FND</t>
  </si>
  <si>
    <t>213220</t>
  </si>
  <si>
    <t>ED/SPEC ED</t>
  </si>
  <si>
    <t>213230</t>
  </si>
  <si>
    <t>ED/ALT</t>
  </si>
  <si>
    <t>213240</t>
  </si>
  <si>
    <t>ED/ED LDR</t>
  </si>
  <si>
    <t>213250</t>
  </si>
  <si>
    <t>ED/ELM &amp; EC ED</t>
  </si>
  <si>
    <t>213260</t>
  </si>
  <si>
    <t>ED/SEC ED</t>
  </si>
  <si>
    <t>213400</t>
  </si>
  <si>
    <t>GRADUATE STUDIES &amp; RESEARCH</t>
  </si>
  <si>
    <t>12202</t>
  </si>
  <si>
    <t>213450</t>
  </si>
  <si>
    <t>EDUCATION COURSE FEES</t>
  </si>
  <si>
    <t>12204</t>
  </si>
  <si>
    <t>240</t>
  </si>
  <si>
    <t>213500</t>
  </si>
  <si>
    <t>INSTRUCTION - COLLEGE OF ENGINEERING</t>
  </si>
  <si>
    <t>12207</t>
  </si>
  <si>
    <t>213510</t>
  </si>
  <si>
    <t>ENGINEERING SUMMER SCHOOL</t>
  </si>
  <si>
    <t>12209</t>
  </si>
  <si>
    <t>213530</t>
  </si>
  <si>
    <t>AGRICULTURAL ENGINEERING</t>
  </si>
  <si>
    <t>12210</t>
  </si>
  <si>
    <t>213550</t>
  </si>
  <si>
    <t>ATMOSPHERIC SCIENCE</t>
  </si>
  <si>
    <t>12211</t>
  </si>
  <si>
    <t>213700</t>
  </si>
  <si>
    <t>CIVIL &amp; ARCHITECTURAL ENGINEERING</t>
  </si>
  <si>
    <t>12212</t>
  </si>
  <si>
    <t>213750</t>
  </si>
  <si>
    <t>CHEMICAL &amp; PETROLEUM  ENGINEERING</t>
  </si>
  <si>
    <t>12214</t>
  </si>
  <si>
    <t>213800</t>
  </si>
  <si>
    <t>ELECTRICAL ENGINEERING</t>
  </si>
  <si>
    <t>12218</t>
  </si>
  <si>
    <t>213850</t>
  </si>
  <si>
    <t>ENGINEERING SCIENCE</t>
  </si>
  <si>
    <t>12220</t>
  </si>
  <si>
    <t>213900</t>
  </si>
  <si>
    <t>MECHANICAL ENGINEERING</t>
  </si>
  <si>
    <t>12221</t>
  </si>
  <si>
    <t>250</t>
  </si>
  <si>
    <t>214400</t>
  </si>
  <si>
    <t>INSTRUCTION - COLLEGE OF HEALTH SCIENCES</t>
  </si>
  <si>
    <t>12223</t>
  </si>
  <si>
    <t>214410</t>
  </si>
  <si>
    <t>HEALTH SCIENCES SUMMER SCHOOL</t>
  </si>
  <si>
    <t>12225</t>
  </si>
  <si>
    <t>214420</t>
  </si>
  <si>
    <t>WWAMI MEDICAL EDUCATION</t>
  </si>
  <si>
    <t>16208</t>
  </si>
  <si>
    <t>214500</t>
  </si>
  <si>
    <t>NURSING</t>
  </si>
  <si>
    <t>12226</t>
  </si>
  <si>
    <t>214600</t>
  </si>
  <si>
    <t>MEDICAL TECHNOLOGY</t>
  </si>
  <si>
    <t>12229</t>
  </si>
  <si>
    <t>214650</t>
  </si>
  <si>
    <t>SOCIAL WORK</t>
  </si>
  <si>
    <t>12231</t>
  </si>
  <si>
    <t>214700</t>
  </si>
  <si>
    <t>SPEECH PATHOLOGY &amp; AUDIOLOGY</t>
  </si>
  <si>
    <t>12233</t>
  </si>
  <si>
    <t>214800</t>
  </si>
  <si>
    <t>PHARMACY</t>
  </si>
  <si>
    <t>12234</t>
  </si>
  <si>
    <t>214850</t>
  </si>
  <si>
    <t>PHYSICAL &amp; HEALTH EDUCATION</t>
  </si>
  <si>
    <t>12236</t>
  </si>
  <si>
    <t>260</t>
  </si>
  <si>
    <t>215000</t>
  </si>
  <si>
    <t>INSTRUCTION - COLLEGE OF LAW</t>
  </si>
  <si>
    <t>12238</t>
  </si>
  <si>
    <t>280</t>
  </si>
  <si>
    <t>215500</t>
  </si>
  <si>
    <t>INSTRUCTION - EDUCATION &amp; SERVICE OUTREACH</t>
  </si>
  <si>
    <t>12240</t>
  </si>
  <si>
    <t>215620</t>
  </si>
  <si>
    <t>PROVOST SUMMER SESSION</t>
  </si>
  <si>
    <t>12243</t>
  </si>
  <si>
    <t>215650</t>
  </si>
  <si>
    <t>UW TELEVISION</t>
  </si>
  <si>
    <t>12244</t>
  </si>
  <si>
    <t>215750</t>
  </si>
  <si>
    <t>EXTENDED CREDIT PROGRAM</t>
  </si>
  <si>
    <t>12245</t>
  </si>
  <si>
    <t>215800</t>
  </si>
  <si>
    <t>UW/CC ACADEMIC PROGRAM</t>
  </si>
  <si>
    <t>12248</t>
  </si>
  <si>
    <t>215850</t>
  </si>
  <si>
    <t>OFF-CAMPUS DEGREE PROGRAM</t>
  </si>
  <si>
    <t>12251</t>
  </si>
  <si>
    <t>215950</t>
  </si>
  <si>
    <t>BUSINESS ASSISTANCE CENTER - COLLEGE OF BUSINESS</t>
  </si>
  <si>
    <t>12253</t>
  </si>
  <si>
    <t>216600</t>
  </si>
  <si>
    <t>AEROSPACE STUDIES</t>
  </si>
  <si>
    <t>12254</t>
  </si>
  <si>
    <t>216650</t>
  </si>
  <si>
    <t>MILITARY SCIENCE</t>
  </si>
  <si>
    <t>12255</t>
  </si>
  <si>
    <t>216660</t>
  </si>
  <si>
    <t>GRADUATE SCHOOL TRAINING</t>
  </si>
  <si>
    <t>12257</t>
  </si>
  <si>
    <t>216870</t>
  </si>
  <si>
    <t>UNIVERSITY STUDIES</t>
  </si>
  <si>
    <t>12258</t>
  </si>
  <si>
    <t>217010</t>
  </si>
  <si>
    <t>FLEXIBLE ENROLLMENT</t>
  </si>
  <si>
    <t>12260</t>
  </si>
  <si>
    <t>217040</t>
  </si>
  <si>
    <t>OFF-CAMPUS CREDIT COURSES</t>
  </si>
  <si>
    <t>12261</t>
  </si>
  <si>
    <t>217060</t>
  </si>
  <si>
    <t>HEALTH SCIENCE OFF-CAMPUS</t>
  </si>
  <si>
    <t>12262</t>
  </si>
  <si>
    <t>217080</t>
  </si>
  <si>
    <t>BROADCAST &amp; MEDIA ENGINEERING</t>
  </si>
  <si>
    <t>12263</t>
  </si>
  <si>
    <t>217100</t>
  </si>
  <si>
    <t>EXTENDED NONCREDIT PROGRAMS</t>
  </si>
  <si>
    <t>12265</t>
  </si>
  <si>
    <t>218000</t>
  </si>
  <si>
    <t>CASPER RESIDENCEY</t>
  </si>
  <si>
    <t>12267</t>
  </si>
  <si>
    <t>218020</t>
  </si>
  <si>
    <t>CHEYENNE RESIDENCY</t>
  </si>
  <si>
    <t>12269</t>
  </si>
  <si>
    <t>220770</t>
  </si>
  <si>
    <t>SUMMER SCHOLARS INSTITUTE</t>
  </si>
  <si>
    <t>12271</t>
  </si>
  <si>
    <t>220790</t>
  </si>
  <si>
    <t>GRADUATE ASSISTANTS - RESERVE</t>
  </si>
  <si>
    <t>12272</t>
  </si>
  <si>
    <t>03</t>
  </si>
  <si>
    <t>RESEARCH</t>
  </si>
  <si>
    <t>300000</t>
  </si>
  <si>
    <t>EMPLOYER PAID BENEFITS - RESEARCH</t>
  </si>
  <si>
    <t>12498</t>
  </si>
  <si>
    <t>300040</t>
  </si>
  <si>
    <t>ERIP RESEARCH</t>
  </si>
  <si>
    <t>12500</t>
  </si>
  <si>
    <t>310120</t>
  </si>
  <si>
    <t>DIVISION OF RESEARCH SUPPORT</t>
  </si>
  <si>
    <t>12502</t>
  </si>
  <si>
    <t>500</t>
  </si>
  <si>
    <t>310130</t>
  </si>
  <si>
    <t>WYOMING NATURAL DIVERSITY DATABASE</t>
  </si>
  <si>
    <t>16218</t>
  </si>
  <si>
    <t>310140</t>
  </si>
  <si>
    <t>NATIONAL PARK RESEARCH CENTER</t>
  </si>
  <si>
    <t>12503</t>
  </si>
  <si>
    <t>310160</t>
  </si>
  <si>
    <t>ENHANCED OIL RECOVERY - COLLEGE OF ENGINEERING</t>
  </si>
  <si>
    <t>12504</t>
  </si>
  <si>
    <t>310180</t>
  </si>
  <si>
    <t>SURVEY RESEARCH CENTER</t>
  </si>
  <si>
    <t>12506</t>
  </si>
  <si>
    <t>310220</t>
  </si>
  <si>
    <t>EPSCOR II</t>
  </si>
  <si>
    <t>12508</t>
  </si>
  <si>
    <t>310260</t>
  </si>
  <si>
    <t>OFFICE OF RESEARCH</t>
  </si>
  <si>
    <t>12509</t>
  </si>
  <si>
    <t>310270</t>
  </si>
  <si>
    <t>INSTITUTE FOR ENVIRONMENT NATURAL RESC</t>
  </si>
  <si>
    <t>16373</t>
  </si>
  <si>
    <t>310280</t>
  </si>
  <si>
    <t>WOLD CHAIR</t>
  </si>
  <si>
    <t>12510</t>
  </si>
  <si>
    <t>310290</t>
  </si>
  <si>
    <t>ENERGY AND ENVIRONMENT</t>
  </si>
  <si>
    <t>16298</t>
  </si>
  <si>
    <t>320000</t>
  </si>
  <si>
    <t>AES - DIRECTORS OFFICE</t>
  </si>
  <si>
    <t>15500</t>
  </si>
  <si>
    <t>320340</t>
  </si>
  <si>
    <t>RESEARCH &amp; EXTENSION CENTER -  AFTON</t>
  </si>
  <si>
    <t>15411</t>
  </si>
  <si>
    <t>320350</t>
  </si>
  <si>
    <t>RESEARCH &amp; EXTENSION CENTER - ARCHER</t>
  </si>
  <si>
    <t>15412</t>
  </si>
  <si>
    <t>320360</t>
  </si>
  <si>
    <t>RESEARCH &amp; EXTENSION CENTER - POWELL</t>
  </si>
  <si>
    <t>15413</t>
  </si>
  <si>
    <t>320370</t>
  </si>
  <si>
    <t>RESEARCH &amp;  EXTENSION CENTER - SHERIDAN</t>
  </si>
  <si>
    <t>15414</t>
  </si>
  <si>
    <t>320380</t>
  </si>
  <si>
    <t>RESEARCH &amp; EXTENSION CENTER - TORRINGTON</t>
  </si>
  <si>
    <t>15415</t>
  </si>
  <si>
    <t>321000</t>
  </si>
  <si>
    <t>ED SPECIAL ED</t>
  </si>
  <si>
    <t>ED ADULT LEARNING &amp; TECH</t>
  </si>
  <si>
    <t>ED SECONDARY ED</t>
  </si>
  <si>
    <t>CASPER RESIDENCY</t>
  </si>
  <si>
    <t>AES - AGRICULTURAL &amp; APPLIED ECONOMICS</t>
  </si>
  <si>
    <t>15530</t>
  </si>
  <si>
    <t>321010</t>
  </si>
  <si>
    <t>15430</t>
  </si>
  <si>
    <t>323000</t>
  </si>
  <si>
    <t>AES - ANIMAL SCIENCE</t>
  </si>
  <si>
    <t>15540</t>
  </si>
  <si>
    <t>323010</t>
  </si>
  <si>
    <t>15440</t>
  </si>
  <si>
    <t>324000</t>
  </si>
  <si>
    <t>AES - MOLECULAR BIOLOGY</t>
  </si>
  <si>
    <t>15560</t>
  </si>
  <si>
    <t>324010</t>
  </si>
  <si>
    <t>15460</t>
  </si>
  <si>
    <t>325000</t>
  </si>
  <si>
    <t>AES - FAMILY &amp; CONSUMER SCIENCES</t>
  </si>
  <si>
    <t>15550</t>
  </si>
  <si>
    <t>325010</t>
  </si>
  <si>
    <t>15450</t>
  </si>
  <si>
    <t>326000</t>
  </si>
  <si>
    <t>AES - VETERINARY SCIENCE</t>
  </si>
  <si>
    <t>15590</t>
  </si>
  <si>
    <t>326410</t>
  </si>
  <si>
    <t>15490</t>
  </si>
  <si>
    <t>327010</t>
  </si>
  <si>
    <t>AES - WYOMING STATE VETERINARY LABORATORY</t>
  </si>
  <si>
    <t>15491</t>
  </si>
  <si>
    <t>328000</t>
  </si>
  <si>
    <t>AES - PLANT SCIENCES</t>
  </si>
  <si>
    <t>15570</t>
  </si>
  <si>
    <t>328740</t>
  </si>
  <si>
    <t>15470</t>
  </si>
  <si>
    <t>329000</t>
  </si>
  <si>
    <t>AES - RENEWABLE RESOURCES</t>
  </si>
  <si>
    <t>15580</t>
  </si>
  <si>
    <t>329010</t>
  </si>
  <si>
    <t>15480</t>
  </si>
  <si>
    <t>330000</t>
  </si>
  <si>
    <t>AES - ADMINISTRATION - HATCH 4TH QUARTER</t>
  </si>
  <si>
    <t>4010</t>
  </si>
  <si>
    <t>15504</t>
  </si>
  <si>
    <t>994HFADMNP</t>
  </si>
  <si>
    <t>330010</t>
  </si>
  <si>
    <t>AES - ADMINISTRATION - HATCH  4TH QUARTER</t>
  </si>
  <si>
    <t>15404</t>
  </si>
  <si>
    <t>994HFADMNS</t>
  </si>
  <si>
    <t>331000</t>
  </si>
  <si>
    <t>AES - AG &amp; APPLIED ECON - HATCH 4TH QUARTER</t>
  </si>
  <si>
    <t>15534</t>
  </si>
  <si>
    <t>994HFAECP</t>
  </si>
  <si>
    <t>331880</t>
  </si>
  <si>
    <t xml:space="preserve">  </t>
  </si>
  <si>
    <t>ED COUNSELOR &amp; ED FOUNDATIONS</t>
  </si>
  <si>
    <t>ED ELEMENTARY &amp; EARLY CHILDHOOD ED</t>
  </si>
  <si>
    <t>TOTAL SECTION I OPERATING BUDGET</t>
  </si>
  <si>
    <t>OFF CAMPUS PROPERTIES-AFTON</t>
  </si>
  <si>
    <t>OFF CAMPUS PROPERTIES-ARCHER</t>
  </si>
  <si>
    <t>OFF CAMPUS PROPERTIES-POWELL</t>
  </si>
  <si>
    <t>OFF CAMPUS PROPERTIES-SHERIDAN</t>
  </si>
  <si>
    <t>OFF CAMPUS PROPERTIES-STOCK FARM-AG</t>
  </si>
  <si>
    <t>OFF CAMPUS PROPERTIES-STOCK FARM-PHY PL</t>
  </si>
  <si>
    <t>FLEXIBLE ENROLLMENT FEE REFUNDS</t>
  </si>
  <si>
    <t xml:space="preserve">EMPLOYER PAID BENEFITS-INSTITUTIONAL </t>
  </si>
  <si>
    <t xml:space="preserve">ACCRUED LIMITED SERVICE-INSTITUTIONAL </t>
  </si>
  <si>
    <t>CONTRACTS &amp; GRANTS ACCOUNTING</t>
  </si>
  <si>
    <t xml:space="preserve">INFO TECH-DATA CONNECT </t>
  </si>
  <si>
    <t>INFO TECH-ADMIN SYS</t>
  </si>
  <si>
    <t xml:space="preserve">INFO TECH-APPLICATIONS </t>
  </si>
  <si>
    <t>INFO TECH-SYSTEMS DEV</t>
  </si>
  <si>
    <t>INFO TECH-OPERATIONS</t>
  </si>
  <si>
    <t>UNI  EXTEN ED - FULL  REIMBURSABLE</t>
  </si>
  <si>
    <t>UNI EXTEN ED - PARTIALLY REIMBURSABLE</t>
  </si>
  <si>
    <t xml:space="preserve">CHEYENNE FAMILY PRAC INCOME REFD ACCT </t>
  </si>
  <si>
    <t xml:space="preserve">CASPER FAMILY PRAC INCOME REFD ACCT </t>
  </si>
  <si>
    <t>NATRONA CO HOS CLINIC PHARM AGREE</t>
  </si>
  <si>
    <t>FACILITY PLANNING CONS HANDLING  ACCT</t>
  </si>
  <si>
    <t>WYO INFRARED OBSERV HANDLING ACCT</t>
  </si>
  <si>
    <t>WYOING COOP RES UNIT HANDLING</t>
  </si>
  <si>
    <t>WYO EAST COLO JR SCI &amp; HUMN SYMPO</t>
  </si>
  <si>
    <t>WYO SCHOOLS/UNI PARTNERSHIP</t>
  </si>
  <si>
    <t>PL SCI GENERAL COST REIMBURSEMENT</t>
  </si>
  <si>
    <t>A &amp; S SHOPS - DIV OF RES SUPPORT</t>
  </si>
  <si>
    <t>CHEMICAL ABUSE RES &amp; ED (CARE) PROG</t>
  </si>
  <si>
    <t>INTERNL RANGE MANAGEMENT PROG</t>
  </si>
  <si>
    <t>VA CHEYENNE CLINICAL PHARM AGREE</t>
  </si>
  <si>
    <t>15434</t>
  </si>
  <si>
    <t>994HFAECS</t>
  </si>
  <si>
    <t>333000</t>
  </si>
  <si>
    <t>AES - ANIMAL SCIENCE - HATCH 4TH QUARTER</t>
  </si>
  <si>
    <t>15544</t>
  </si>
  <si>
    <t>994HFANSP</t>
  </si>
  <si>
    <t>333400</t>
  </si>
  <si>
    <t>HATCH 4TH QUARTER WYO 56-71</t>
  </si>
  <si>
    <t>15444</t>
  </si>
  <si>
    <t>994HFANSS</t>
  </si>
  <si>
    <t>334000</t>
  </si>
  <si>
    <t>AES - MOLECULAR BIOLOGY - HATCH 4TH QUARTER</t>
  </si>
  <si>
    <t>15564</t>
  </si>
  <si>
    <t>994HFMBP</t>
  </si>
  <si>
    <t>334480</t>
  </si>
  <si>
    <t>15464</t>
  </si>
  <si>
    <t>994HFMBS</t>
  </si>
  <si>
    <t>335420</t>
  </si>
  <si>
    <t>4TH QUARTER HATCH - FAMILY &amp; CONSUMER SCIENCES</t>
  </si>
  <si>
    <t>15454</t>
  </si>
  <si>
    <t>994HFFCSS</t>
  </si>
  <si>
    <t>336000</t>
  </si>
  <si>
    <t>AES - VETERINARY SCIENCE - HATCH 4TH QUARTER</t>
  </si>
  <si>
    <t>15594</t>
  </si>
  <si>
    <t>994HFVSCP</t>
  </si>
  <si>
    <t>336400</t>
  </si>
  <si>
    <t>4TH QUARTER HATCH - VETERINARY SCIENCE</t>
  </si>
  <si>
    <t>15494</t>
  </si>
  <si>
    <t>994HFVSCS</t>
  </si>
  <si>
    <t>338000</t>
  </si>
  <si>
    <t>AES - PLANT SCIENCES - HATCH 4TH QUARTER</t>
  </si>
  <si>
    <t>15574</t>
  </si>
  <si>
    <t>994HFPSP</t>
  </si>
  <si>
    <t>338440</t>
  </si>
  <si>
    <t>15474</t>
  </si>
  <si>
    <t>994HFPSS</t>
  </si>
  <si>
    <t>339000</t>
  </si>
  <si>
    <t>AES - RENEWABLE RESOURCES - HATCH 4TH QUARTER</t>
  </si>
  <si>
    <t>15584</t>
  </si>
  <si>
    <t>994HFNRP</t>
  </si>
  <si>
    <t>339700</t>
  </si>
  <si>
    <t>RENEWABLE RESOURCES - HATCH 4TH QUARTER</t>
  </si>
  <si>
    <t>15384</t>
  </si>
  <si>
    <t>994CGRRSHAR</t>
  </si>
  <si>
    <t>340000</t>
  </si>
  <si>
    <t>AES - ADMINISTRATION - HATCH 1ST/3RD QUARTERS</t>
  </si>
  <si>
    <t>4011</t>
  </si>
  <si>
    <t>15503</t>
  </si>
  <si>
    <t>003HFADMNP</t>
  </si>
  <si>
    <t>340010</t>
  </si>
  <si>
    <t>15403</t>
  </si>
  <si>
    <t>003HFADMNS</t>
  </si>
  <si>
    <t>341000</t>
  </si>
  <si>
    <t>AES - AG &amp; APPLIED ECON - HATCH 1ST/3RD QUARTERS</t>
  </si>
  <si>
    <t>15533</t>
  </si>
  <si>
    <t>003HFAECP</t>
  </si>
  <si>
    <t>341880</t>
  </si>
  <si>
    <t>AGRICULTURAL ECONOMICS - HATCH 1ST/3RD QUARTER</t>
  </si>
  <si>
    <t>15433</t>
  </si>
  <si>
    <t>003HFAECS</t>
  </si>
  <si>
    <t>343000</t>
  </si>
  <si>
    <t>AES - ANIMAL SCIENCE - HATCH 1ST/3RD QUARTERS</t>
  </si>
  <si>
    <t>15543</t>
  </si>
  <si>
    <t>003HFANSP</t>
  </si>
  <si>
    <t>343400</t>
  </si>
  <si>
    <t>HATCH 1ST-3RD QUARTERS (WYO 56-71)</t>
  </si>
  <si>
    <t>15443</t>
  </si>
  <si>
    <t>003HFANSS</t>
  </si>
  <si>
    <t>344000</t>
  </si>
  <si>
    <t>AES - MOLECULAR BIOLOGY - HATCH 1ST/3RD QUARTERS</t>
  </si>
  <si>
    <t>15563</t>
  </si>
  <si>
    <t>003HFMBP</t>
  </si>
  <si>
    <t>344480</t>
  </si>
  <si>
    <t>AES-MOLECULAR BIOLOGY - HATCH 1ST/3RD QUARTERS</t>
  </si>
  <si>
    <t>15463</t>
  </si>
  <si>
    <t>003HFMBS</t>
  </si>
  <si>
    <t>345420</t>
  </si>
  <si>
    <t>1-3 QUARTER HATCH - FAMILY &amp; CONSUMER SCIENCES</t>
  </si>
  <si>
    <t>15453</t>
  </si>
  <si>
    <t>003HFFCSS</t>
  </si>
  <si>
    <t>346000</t>
  </si>
  <si>
    <t>AES - VETERINARY SCIENCE - HATCH 1ST/3RD QUARTERS</t>
  </si>
  <si>
    <t>15593</t>
  </si>
  <si>
    <t>003HFVSCP</t>
  </si>
  <si>
    <t>346400</t>
  </si>
  <si>
    <t>1-3 QUARTER HATCH - VETERINARY SCIENCE</t>
  </si>
  <si>
    <t>15493</t>
  </si>
  <si>
    <t>003HFVSCS</t>
  </si>
  <si>
    <t>348000</t>
  </si>
  <si>
    <t>AES - PLANT SCIENCES - HATCH 1ST/3RD QUARTERS</t>
  </si>
  <si>
    <t>15573</t>
  </si>
  <si>
    <t>003HFPSP</t>
  </si>
  <si>
    <t>348440</t>
  </si>
  <si>
    <t>1-3 QUARTER HATCH - PLANT, SOIL, AND INSECT SCIENCES</t>
  </si>
  <si>
    <t>15473</t>
  </si>
  <si>
    <t>003HFPSS</t>
  </si>
  <si>
    <t>349000</t>
  </si>
  <si>
    <t>AES - RENEWABLE RESOURCES - HATCH 1ST/3RD QUARTERS</t>
  </si>
  <si>
    <t>15583</t>
  </si>
  <si>
    <t>003HFNRP</t>
  </si>
  <si>
    <t>350000</t>
  </si>
  <si>
    <t>AES - ADMINISTRATION - REG RES 4TH QUARTER</t>
  </si>
  <si>
    <t>4030</t>
  </si>
  <si>
    <t>15505</t>
  </si>
  <si>
    <t>994RRFADMNP</t>
  </si>
  <si>
    <t>350010</t>
  </si>
  <si>
    <t>4TH QUARTER RRF - ADMINISTRATION</t>
  </si>
  <si>
    <t>15405</t>
  </si>
  <si>
    <t>994RRFADMNS</t>
  </si>
  <si>
    <t>351750</t>
  </si>
  <si>
    <t>AES - AG ECONOMICS - REGIONAL RESEARCH 4TH QUARTER</t>
  </si>
  <si>
    <t>15435</t>
  </si>
  <si>
    <t>994RRFAECS</t>
  </si>
  <si>
    <t>353400</t>
  </si>
  <si>
    <t>RRF 4TH QUARTER WYO 56-71/ANIMAL SCIENCE</t>
  </si>
  <si>
    <t>15445</t>
  </si>
  <si>
    <t>994RRFANSS</t>
  </si>
  <si>
    <t>355410</t>
  </si>
  <si>
    <t>4TH QUARTER RRF - FAMILY &amp; CONSUMER SCIENCES</t>
  </si>
  <si>
    <t>15455</t>
  </si>
  <si>
    <t>994RRFFCSS</t>
  </si>
  <si>
    <t>358480</t>
  </si>
  <si>
    <t>4TH QUARTER RRF - PLANT, SOIL, AND INSECT SCIENCES</t>
  </si>
  <si>
    <t>15475</t>
  </si>
  <si>
    <t>994RRFPSS</t>
  </si>
  <si>
    <t>359000</t>
  </si>
  <si>
    <t>AES - RENEWABLE RESOURCES - 4TH QUARTER</t>
  </si>
  <si>
    <t>15585</t>
  </si>
  <si>
    <t>994RRFRRP</t>
  </si>
  <si>
    <t>360000</t>
  </si>
  <si>
    <t>AES - DIRECTORS OFFICE - REG RES 1ST/3RD QUARTERS</t>
  </si>
  <si>
    <t>4031</t>
  </si>
  <si>
    <t>15506</t>
  </si>
  <si>
    <t>003RRFADMNP</t>
  </si>
  <si>
    <t>360010</t>
  </si>
  <si>
    <t>1-3 QUARTER RRF - ADMINISTRATION</t>
  </si>
  <si>
    <t>15406</t>
  </si>
  <si>
    <t>003RRFADMNS</t>
  </si>
  <si>
    <t>361750</t>
  </si>
  <si>
    <t>1-3 QUARTER RRF - AGRICULTURAL ECONOMICS</t>
  </si>
  <si>
    <t>15436</t>
  </si>
  <si>
    <t>003RRFAECS</t>
  </si>
  <si>
    <t>363400</t>
  </si>
  <si>
    <t>RRF 0ST-3RD QUARTERS (WYO 56-71)</t>
  </si>
  <si>
    <t>15446</t>
  </si>
  <si>
    <t>003RRFANSS</t>
  </si>
  <si>
    <t>365000</t>
  </si>
  <si>
    <t>AES - FAMILY &amp; CONSUMER SCIENCES - REG RES 1ST/3RD QTRS</t>
  </si>
  <si>
    <t>15556</t>
  </si>
  <si>
    <t>003RRFFCSP</t>
  </si>
  <si>
    <t>365410</t>
  </si>
  <si>
    <t>1-3 QUARTER RRF - FAMILY &amp; CONSUMER SCIENCES</t>
  </si>
  <si>
    <t>15456</t>
  </si>
  <si>
    <t>003RRFFCSS</t>
  </si>
  <si>
    <t>368000</t>
  </si>
  <si>
    <t>AES - PLANT SCIENCES - REG RES 1ST/3RD QTRS</t>
  </si>
  <si>
    <t>15576</t>
  </si>
  <si>
    <t>003RRFPSP</t>
  </si>
  <si>
    <t>368480</t>
  </si>
  <si>
    <t>1ST THRU 3RD QUARTER REGIONAL RESEARCH WYO 97-73 PLT SCIENCE</t>
  </si>
  <si>
    <t>15476</t>
  </si>
  <si>
    <t>003RRFPSS</t>
  </si>
  <si>
    <t>369000</t>
  </si>
  <si>
    <t>AES - RENEWABLE RESOURCES - 1ST/3RD QTRS</t>
  </si>
  <si>
    <t>15586</t>
  </si>
  <si>
    <t>FD</t>
  </si>
  <si>
    <t>ORG</t>
  </si>
  <si>
    <t>OVER</t>
  </si>
  <si>
    <t>TIME</t>
  </si>
  <si>
    <t>INSTRUCTION - AGRICULTURE ADMIN</t>
  </si>
  <si>
    <t>INSTRUCTION - AGRICULTURE ASSOC DEAN</t>
  </si>
  <si>
    <t>VETERINARY SCIENCE/WYO  STATE VET LAB</t>
  </si>
  <si>
    <t>GRAD BUS PROG-COLLEGE OF BUSINESS</t>
  </si>
  <si>
    <t>BUSINESS ASSISTANT CENTER</t>
  </si>
  <si>
    <t>ED EDUCATIONAL LEADERSHIP</t>
  </si>
  <si>
    <t>INSTRUCTION - ED &amp; SERV OUTREACH</t>
  </si>
  <si>
    <t>ENHANCED OIL RECOV - COLLEGE OF ENGINR</t>
  </si>
  <si>
    <t>SUPERIOR STUDENT IN ED SCHOLARSHIPS</t>
  </si>
  <si>
    <t>RESEARCH &amp; EXTENSION CENTER - TORRING</t>
  </si>
  <si>
    <t>AES - ADMIN-HATCH 4TH QTR</t>
  </si>
  <si>
    <t>AES - ADMIN-REG RES 4TH QTR</t>
  </si>
  <si>
    <t>AES - ADMIN-MC-STENNIS 4TH QTR PAYROLL</t>
  </si>
  <si>
    <t xml:space="preserve">AES - ADMIN-MC-STENNIS 4TH QTR </t>
  </si>
  <si>
    <t>AES - AGRICULTURAL &amp; APPLIED ECON</t>
  </si>
  <si>
    <t>AES - AG &amp; APPLIED ECON - HATCH 4TH QTR</t>
  </si>
  <si>
    <t>AES - AG &amp; APPLIED ECON - REG RES 4TH QTR</t>
  </si>
  <si>
    <t>AES - ANIMAL SCIENCE - HATCH 4TH QTR</t>
  </si>
  <si>
    <t>AES - ANIMAL SCIENCE - HATCH 1-3RD QTRS</t>
  </si>
  <si>
    <t>AES - ADMIN-HATCH 1-3RD QTRS</t>
  </si>
  <si>
    <t>AES - ADMIN-REG RES 1-3RD QTRS</t>
  </si>
  <si>
    <t>AES - ADMIN-MC-STENNIS 1-3RD QTRS</t>
  </si>
  <si>
    <t>AES - AG &amp; APPLIED ECON - HATCH 1-3RD QTRS</t>
  </si>
  <si>
    <t>AES - AG &amp; APPLIED ECON - REG RES 1-3 QTRS</t>
  </si>
  <si>
    <t>AES - MOLECULAR BIO - HATCH 4TH QTR</t>
  </si>
  <si>
    <t>AES - MOLECULAR BIO - HATCH 1-3RD QTRS</t>
  </si>
  <si>
    <t>AES -  ANIMAL SCIENCE - REG RES 4TH QTR</t>
  </si>
  <si>
    <t>AES -  ANIMAL SCIENCE - REG RES 1-3RD QTRS</t>
  </si>
  <si>
    <t>AES - FAMILY &amp; CONS SCI HATCH 4TH QTR</t>
  </si>
  <si>
    <t>AES - FAMILY &amp; CONS SCI HATCH 1-3RD QTRS</t>
  </si>
  <si>
    <t>AES - FAMILY &amp; CONS SCI HATCH 4TH QTRS</t>
  </si>
  <si>
    <t xml:space="preserve">  TOTAL AES FAMILY &amp; CONSUMER  SCIENCE</t>
  </si>
  <si>
    <t>AES - WYOMING STATE VET LABORATORY</t>
  </si>
  <si>
    <t>AES - VETERINARY SCI - HATCH 4TH QTR</t>
  </si>
  <si>
    <t>AES - VETERINARY SCI - HATCH 1-3RD QTRS</t>
  </si>
  <si>
    <t>AES - PLANT SCIENCES - HATCH 4TH QTR</t>
  </si>
  <si>
    <t>AES - PLANT SCIENCES - HATCH 1-3RD QTRS</t>
  </si>
  <si>
    <t>AES - PLANT SCIENCES - REG RES 4TH QTRS</t>
  </si>
  <si>
    <t>AES - PLANT SCIENCES - REG RES 1-3RD QTRS</t>
  </si>
  <si>
    <t>AES - RENEWABLE RESR - HATCH 4TH QTR</t>
  </si>
  <si>
    <t>AES - RENEWABLE RESR - HATCH 1-3RD QTRS</t>
  </si>
  <si>
    <t>AES - RENEWABLE RESR - REG RES 1-3RD QTRS</t>
  </si>
  <si>
    <t>AES - RENEWABLE RESR - REG RES 4TH QTR</t>
  </si>
  <si>
    <t>AES - RENEWABLE RESR -M/S 4TH QTRS</t>
  </si>
  <si>
    <t>AES - RENEWABLE RESR -M/S 1-3RD QTRS</t>
  </si>
  <si>
    <t>SMITH-LEVER ADMIN - 4TH QUARTER</t>
  </si>
  <si>
    <t>SMITH-LEVER ADMIN - 1-3RD QTRS</t>
  </si>
  <si>
    <t xml:space="preserve">EMPLOYER PAID BENEFITS - ACADEMIC </t>
  </si>
  <si>
    <t>GRAD SCHOOL -  ADMIN &amp; TEACHING</t>
  </si>
  <si>
    <t>COLLEGE OF AGRICULTURE - COMP FEE</t>
  </si>
  <si>
    <t>SCHOOL OF EXTENDED STUDIES - COMP- FEE</t>
  </si>
  <si>
    <t>UW/CASPER COLLEGE - COMP FEE</t>
  </si>
  <si>
    <t>ACADEMIC AFFAIRS - COMP FEE</t>
  </si>
  <si>
    <t>WYO CENT FOR TEACH &amp; LEARN AT LARAMIE</t>
  </si>
  <si>
    <t>COLLEGE OF ARTS &amp; SCIENCES - COMP FEE</t>
  </si>
  <si>
    <t>COLLEGE OF BUSINESS - COMP FEE</t>
  </si>
  <si>
    <t>HEALTH SCIENCES - COMP FEE</t>
  </si>
  <si>
    <t>COLLEGE OF LAW - COMP FEE</t>
  </si>
  <si>
    <t>INFORMATION TECHNOLOGY - OPER</t>
  </si>
  <si>
    <t xml:space="preserve">INFORMATION TECHNOLOGY - APPLICATIONS </t>
  </si>
  <si>
    <t xml:space="preserve">INFORMATION TECHNOLOGY - SYSTEMS </t>
  </si>
  <si>
    <t>INFORMATION TECHNOLOGY - MICRO LABS</t>
  </si>
  <si>
    <t>INFORMATION TECHNOLOGY - COMP FEE</t>
  </si>
  <si>
    <t>STUDENT AFFAIRS - COMP FEE</t>
  </si>
  <si>
    <t>SEO/ADA - COMP FEE</t>
  </si>
  <si>
    <t>DIR'S OFFICE - INTERCOLLEGIATE ATHLETICS</t>
  </si>
  <si>
    <t>EMPLOYER PAID BENEFITS - OPER &amp; MAINT</t>
  </si>
  <si>
    <t>ACCRUED LIMITED SERVICE - OPER &amp; MAINT</t>
  </si>
  <si>
    <t>MISC MAINTENANCE DIRECTORS OFFICE</t>
  </si>
  <si>
    <t>SPECIAL PHYSICAL PLANT REPAIRS - EQUIP</t>
  </si>
  <si>
    <t>UNIVERSITY OF WYO VISITORS INFO CENTER</t>
  </si>
  <si>
    <t xml:space="preserve">OFFICE OF DEVELOPMENT </t>
  </si>
  <si>
    <t>VICE PRESIDENT -  ADMIN &amp; FINANCE</t>
  </si>
  <si>
    <t>GOVERNMENTAL AFFAIRS &amp; SPECIAL PROJ</t>
  </si>
  <si>
    <t>EMPLOYER PAID BENEFITS - STU SERVICES</t>
  </si>
  <si>
    <t>ACCRUED LIMITED SERVICE - STU SERVICES</t>
  </si>
  <si>
    <t>INTERNL STU SERVICES - STUDENT AFFAIRS</t>
  </si>
  <si>
    <t>ACAD ADVISING OFFICE - COLLEGE OF BUS</t>
  </si>
  <si>
    <t>HUMAN MED INSTRUC &amp; CONT. - MEDICAL</t>
  </si>
  <si>
    <t>TELECOUNSELING/WEST COAST</t>
  </si>
  <si>
    <t>CAREER EXPLORATION OPPORT (CEOP)</t>
  </si>
  <si>
    <t>003RRFRRP</t>
  </si>
  <si>
    <t>370000</t>
  </si>
  <si>
    <t>MCINTIRE-STENNIS 4TH QUARTER PAYROLL</t>
  </si>
  <si>
    <t>4020</t>
  </si>
  <si>
    <t>15501</t>
  </si>
  <si>
    <t>994MSADMNP</t>
  </si>
  <si>
    <t>370010</t>
  </si>
  <si>
    <t>4TH QUARTER MCINTYRE-STENNIS - ADMINISTRATION</t>
  </si>
  <si>
    <t>15401</t>
  </si>
  <si>
    <t>994MSADMNS</t>
  </si>
  <si>
    <t>379000</t>
  </si>
  <si>
    <t>AES - RENEWABLE RESOURCES - MC STENNIS - 4TH QUARTER</t>
  </si>
  <si>
    <t>15587</t>
  </si>
  <si>
    <t>994MSNRP</t>
  </si>
  <si>
    <t>379110</t>
  </si>
  <si>
    <t>4TH QUARTER MCINTYRE-STENNIS RANGE MANAGEMENT</t>
  </si>
  <si>
    <t>15487</t>
  </si>
  <si>
    <t>994MSNRS</t>
  </si>
  <si>
    <t>380000</t>
  </si>
  <si>
    <t>KUEHN, C. C. ESTATE COLLEGE OF AG</t>
  </si>
  <si>
    <t>FACILITY RENT-UW CASPER COLLEGE</t>
  </si>
  <si>
    <t>TOTAL SECTION II OPERATING BUDGET</t>
  </si>
  <si>
    <t>AES - ADMINISTRATION - MC STENNIS 1ST/3RD QUARTERS</t>
  </si>
  <si>
    <t>4021</t>
  </si>
  <si>
    <t>15502</t>
  </si>
  <si>
    <t>003MSADMNP</t>
  </si>
  <si>
    <t>380010</t>
  </si>
  <si>
    <t>MCINTIRE STENNIS SUPPORT 1ST-3RD QUARTER</t>
  </si>
  <si>
    <t>15402</t>
  </si>
  <si>
    <t>003MSADMNS</t>
  </si>
  <si>
    <t>389000</t>
  </si>
  <si>
    <t>AES - RENEWABLE RESOURCES - MC STENNIS 1ST/3RD</t>
  </si>
  <si>
    <t>15588</t>
  </si>
  <si>
    <t>003MSNRP</t>
  </si>
  <si>
    <t>389110</t>
  </si>
  <si>
    <t>1-3 QUARTER M/S - RANGE MANAGEMENT</t>
  </si>
  <si>
    <t>15488</t>
  </si>
  <si>
    <t>003MSNRS</t>
  </si>
  <si>
    <t>04</t>
  </si>
  <si>
    <t>PUBLIC SERVICES</t>
  </si>
  <si>
    <t>254000</t>
  </si>
  <si>
    <t>EMPLOYER PAID BENEFITS - PUBLIC SERVICE</t>
  </si>
  <si>
    <t>12274</t>
  </si>
  <si>
    <t>254010</t>
  </si>
  <si>
    <t>ACCRUED LIMITED SERVICE - PUBLIC SERVICE</t>
  </si>
  <si>
    <t>12275</t>
  </si>
  <si>
    <t>254040</t>
  </si>
  <si>
    <t>ERIP PUBLIC SERVICE</t>
  </si>
  <si>
    <t>12276</t>
  </si>
  <si>
    <t>254200</t>
  </si>
  <si>
    <t>CULTURAL OUTREACH</t>
  </si>
  <si>
    <t>12277</t>
  </si>
  <si>
    <t>254330</t>
  </si>
  <si>
    <t>HIGH SCHOOL PROGRAMS - MINORITY AFFAIRS</t>
  </si>
  <si>
    <t>12278</t>
  </si>
  <si>
    <t>254600</t>
  </si>
  <si>
    <t>WYOMING PUBLIC RADIO</t>
  </si>
  <si>
    <t>12281</t>
  </si>
  <si>
    <t>255000</t>
  </si>
  <si>
    <t>CES - ADMINISTRATION</t>
  </si>
  <si>
    <t>15800</t>
  </si>
  <si>
    <t>255010</t>
  </si>
  <si>
    <t>CES - AGRICULTURAL ECONOMICS - STATE</t>
  </si>
  <si>
    <t>15730</t>
  </si>
  <si>
    <t>255030</t>
  </si>
  <si>
    <t>CES - ANIMAL SCIENCE - STATE</t>
  </si>
  <si>
    <t>15740</t>
  </si>
  <si>
    <t>255050</t>
  </si>
  <si>
    <t>CES - FAMILY &amp; CONSUMER SCIENCES - STATE</t>
  </si>
  <si>
    <t>15750</t>
  </si>
  <si>
    <t>255060</t>
  </si>
  <si>
    <t>CES - VETERINARY SCIENCE</t>
  </si>
  <si>
    <t>15790</t>
  </si>
  <si>
    <t>255080</t>
  </si>
  <si>
    <t>CES - PLANT SCIENCE - STATE</t>
  </si>
  <si>
    <t>15770</t>
  </si>
  <si>
    <t>255090</t>
  </si>
  <si>
    <t>CES - RANGE MANAGEMENT - STATE</t>
  </si>
  <si>
    <t>15780</t>
  </si>
  <si>
    <t>255110</t>
  </si>
  <si>
    <t>CES - DIRECTORS OFFICE - ADMIN - STATE</t>
  </si>
  <si>
    <t>15700</t>
  </si>
  <si>
    <t>255310</t>
  </si>
  <si>
    <t>CES - AGRICULTURAL &amp; APPLIED ECONOMICS</t>
  </si>
  <si>
    <t>15830</t>
  </si>
  <si>
    <t>255330</t>
  </si>
  <si>
    <t>CES - ANIMAL SCIENCE</t>
  </si>
  <si>
    <t>15840</t>
  </si>
  <si>
    <t>255350</t>
  </si>
  <si>
    <t>CES - FAMILY &amp; CONSUMER SCIENCES</t>
  </si>
  <si>
    <t>15850</t>
  </si>
  <si>
    <t>255360</t>
  </si>
  <si>
    <t>15890</t>
  </si>
  <si>
    <t>255380</t>
  </si>
  <si>
    <t>CES - PLANT SCIENCES</t>
  </si>
  <si>
    <t>15870</t>
  </si>
  <si>
    <t>255390</t>
  </si>
  <si>
    <t>CES - RENEWABLE RESOURCES</t>
  </si>
  <si>
    <t>15880</t>
  </si>
  <si>
    <t>265000</t>
  </si>
  <si>
    <t>SMITH-LEVER ADMINISTRATION  - 1ST/3RD QUARTERS</t>
  </si>
  <si>
    <t>4041</t>
  </si>
  <si>
    <t>15803</t>
  </si>
  <si>
    <t>003SLADMNP</t>
  </si>
  <si>
    <t>265110</t>
  </si>
  <si>
    <t>SMITH-LEVER - DIRECTOR'S OFFICE, ADMIN - 1ST/3RD</t>
  </si>
  <si>
    <t>15703</t>
  </si>
  <si>
    <t>003SLADMNS</t>
  </si>
  <si>
    <t>266000</t>
  </si>
  <si>
    <t>SMITH-LEVER ADMINISTRATION - 4TH QUARTER</t>
  </si>
  <si>
    <t>4040</t>
  </si>
  <si>
    <t>15804</t>
  </si>
  <si>
    <t>994SLADMNP</t>
  </si>
  <si>
    <t>266110</t>
  </si>
  <si>
    <t xml:space="preserve"> </t>
  </si>
  <si>
    <t xml:space="preserve">    TOTAL INSTRUCTION COLLEGE OF AG</t>
  </si>
  <si>
    <t>SMITH-LEVER - DIRECTOR'S OFFICE, ADMIN - 4TH QUARTER</t>
  </si>
  <si>
    <t>15704</t>
  </si>
  <si>
    <t>994SLADMNS</t>
  </si>
  <si>
    <t>273900</t>
  </si>
  <si>
    <t>SMITH-LEVER FEDERAL RETIREMENT -  1ST/3RD QUARTERS</t>
  </si>
  <si>
    <t>15801</t>
  </si>
  <si>
    <t>003SLRET</t>
  </si>
  <si>
    <t>274900</t>
  </si>
  <si>
    <t>SMITH-LEVER FEDERAL RETIREMENT -  4TH QUARTER</t>
  </si>
  <si>
    <t>15802</t>
  </si>
  <si>
    <t>994SLRET</t>
  </si>
  <si>
    <t>05</t>
  </si>
  <si>
    <t>ACADEMIC SUPPORT</t>
  </si>
  <si>
    <t>200000</t>
  </si>
  <si>
    <t>EMPLOYER PAID BENEFITS - ACADEMIC SUPPORT</t>
  </si>
  <si>
    <t>12000</t>
  </si>
  <si>
    <t>200040</t>
  </si>
  <si>
    <t>ERIP ACADEMIC SUPPORT</t>
  </si>
  <si>
    <t>12002</t>
  </si>
  <si>
    <t>200100</t>
  </si>
  <si>
    <t>UNIVERSITY ART MUSEUM</t>
  </si>
  <si>
    <t>12003</t>
  </si>
  <si>
    <t>200120</t>
  </si>
  <si>
    <t>GRADUATE SCHOOL -  ADMINISTRATION &amp; TEACHING</t>
  </si>
  <si>
    <t>12004</t>
  </si>
  <si>
    <t>200130</t>
  </si>
  <si>
    <t>GEOLOGY MUSEUM</t>
  </si>
  <si>
    <t>12006</t>
  </si>
  <si>
    <t>200140</t>
  </si>
  <si>
    <t>LAW LIBRARY ACQUISITION</t>
  </si>
  <si>
    <t>12007</t>
  </si>
  <si>
    <t>200150</t>
  </si>
  <si>
    <t>COLLEGE OF AGRICULTURE - COMPUTER FEE</t>
  </si>
  <si>
    <t>16048</t>
  </si>
  <si>
    <t>290</t>
  </si>
  <si>
    <t>200160</t>
  </si>
  <si>
    <t>LIBRARY GENERAL</t>
  </si>
  <si>
    <t>12008</t>
  </si>
  <si>
    <t>200170</t>
  </si>
  <si>
    <t>SCHOOL OF EXTENDED STUDIES - COMPUTER FEE</t>
  </si>
  <si>
    <t>16049</t>
  </si>
  <si>
    <t>200180</t>
  </si>
  <si>
    <t>LIBRARY ACQUISITIONS</t>
  </si>
  <si>
    <t>12010</t>
  </si>
  <si>
    <t>200200</t>
  </si>
  <si>
    <t>LIBRARY - CASPER</t>
  </si>
  <si>
    <t>12012</t>
  </si>
  <si>
    <t>200210</t>
  </si>
  <si>
    <t>UW/CASPER COLLEGE - COMPUTER FEE</t>
  </si>
  <si>
    <t>16050</t>
  </si>
  <si>
    <t>200220</t>
  </si>
  <si>
    <t>AMERICAN HERITAGE CENTER</t>
  </si>
  <si>
    <t>12013</t>
  </si>
  <si>
    <t>420</t>
  </si>
  <si>
    <t>200260</t>
  </si>
  <si>
    <t>INFORMATION TECHNOLOGY</t>
  </si>
  <si>
    <t>12014</t>
  </si>
  <si>
    <t>200280</t>
  </si>
  <si>
    <t>CENTER FOR ACADEMIC ADVISING</t>
  </si>
  <si>
    <t>12016</t>
  </si>
  <si>
    <t>200300</t>
  </si>
  <si>
    <t>AUDIO VISUAL</t>
  </si>
  <si>
    <t>12017</t>
  </si>
  <si>
    <t>200310</t>
  </si>
  <si>
    <t>CENTER FOR TEACHING EXCELLENCE</t>
  </si>
  <si>
    <t>12018</t>
  </si>
  <si>
    <t>200320</t>
  </si>
  <si>
    <t>CLASSROOM BUILDING COORDINATOR</t>
  </si>
  <si>
    <t>12021</t>
  </si>
  <si>
    <t>200330</t>
  </si>
  <si>
    <t>ACADEMIC AFFAIRS - COMPUTER FEE</t>
  </si>
  <si>
    <t>16051</t>
  </si>
  <si>
    <t>200340</t>
  </si>
  <si>
    <t>ACADEMIC AFFAIRS</t>
  </si>
  <si>
    <t>12023</t>
  </si>
  <si>
    <t>200360</t>
  </si>
  <si>
    <t>OBSERVATORY</t>
  </si>
  <si>
    <t>12025</t>
  </si>
  <si>
    <t>200380</t>
  </si>
  <si>
    <t>WYOMING CENTER FOR TEACHING &amp; LEARNING AT LARAMIE</t>
  </si>
  <si>
    <t>12027</t>
  </si>
  <si>
    <t>200400</t>
  </si>
  <si>
    <t>DEANS OFFICE - AGRICULTURE</t>
  </si>
  <si>
    <t>15220</t>
  </si>
  <si>
    <t>200410</t>
  </si>
  <si>
    <t>AGRICULTURE DEANS OFFICE - DEVELOPMENT</t>
  </si>
  <si>
    <t>15229</t>
  </si>
  <si>
    <t>200420</t>
  </si>
  <si>
    <t>DEANS OFFICE - ARTS &amp; SCIENCES</t>
  </si>
  <si>
    <t>12028</t>
  </si>
  <si>
    <t>200430</t>
  </si>
  <si>
    <t>COLLEGE OF ARTS &amp; SCIENCES - COMPUTER FEE</t>
  </si>
  <si>
    <t>16052</t>
  </si>
  <si>
    <t>200440</t>
  </si>
  <si>
    <t>DEANS OFFICE - BUSINESS</t>
  </si>
  <si>
    <t>12029</t>
  </si>
  <si>
    <t>200450</t>
  </si>
  <si>
    <t>COLLEGE OF BUSINESS - COMPUTER FEE</t>
  </si>
  <si>
    <t>16053</t>
  </si>
  <si>
    <t>200460</t>
  </si>
  <si>
    <t>DEANS OFFICE - EDUCATION</t>
  </si>
  <si>
    <t>12030</t>
  </si>
  <si>
    <t>200480</t>
  </si>
  <si>
    <t>DEANS OFFICE - ENGINEERING</t>
  </si>
  <si>
    <t>12031</t>
  </si>
  <si>
    <t>200490</t>
  </si>
  <si>
    <t>ENGINEERING COLLEGE COURSE FEES</t>
  </si>
  <si>
    <t>12033</t>
  </si>
  <si>
    <t>200500</t>
  </si>
  <si>
    <t>DEANS OFFICE - HEALTH SCIENCE</t>
  </si>
  <si>
    <t>12034</t>
  </si>
  <si>
    <t>200510</t>
  </si>
  <si>
    <t>HEALTH SCIENCES - COMPUTER FEE</t>
  </si>
  <si>
    <t>16066</t>
  </si>
  <si>
    <t>200520</t>
  </si>
  <si>
    <t>DEANS OFFICE - LAW</t>
  </si>
  <si>
    <t>12035</t>
  </si>
  <si>
    <t>200530</t>
  </si>
  <si>
    <t>COLLEGE OF LAW - COMPUTER FEE</t>
  </si>
  <si>
    <t>16020</t>
  </si>
  <si>
    <t>200550</t>
  </si>
  <si>
    <t>INFORMATION TECHNOLOGY - OPERATIONS</t>
  </si>
  <si>
    <t>12036</t>
  </si>
  <si>
    <t>200560</t>
  </si>
  <si>
    <t>INFORMATION TECHNOLOGY - APPLICATIONS DEVELOPMENT</t>
  </si>
  <si>
    <t>12037</t>
  </si>
  <si>
    <t>200570</t>
  </si>
  <si>
    <t>INFORMATION TECHNOLOGY - SYSTEMS DEVELOPMENT</t>
  </si>
  <si>
    <t>12038</t>
  </si>
  <si>
    <t>200580</t>
  </si>
  <si>
    <t>INFORMATION TECHNOLOGY - USER SUPPORT</t>
  </si>
  <si>
    <t>12040</t>
  </si>
  <si>
    <t>200590</t>
  </si>
  <si>
    <t>INFORMATION TECHNOLOGY - MICROCOMPUTER LABS</t>
  </si>
  <si>
    <t>12041</t>
  </si>
  <si>
    <t>200600</t>
  </si>
  <si>
    <t>INFORMATION TECHNOLOGY - COMPUTER FEE</t>
  </si>
  <si>
    <t>16071</t>
  </si>
  <si>
    <t>200610</t>
  </si>
  <si>
    <t>SEO/ADA - COMPUTER FEE</t>
  </si>
  <si>
    <t>16253</t>
  </si>
  <si>
    <t>200620</t>
  </si>
  <si>
    <t>STUDENT AFFAIRS - COMPUTER FEE</t>
  </si>
  <si>
    <t>16254</t>
  </si>
  <si>
    <t>06</t>
  </si>
  <si>
    <t>ATHLETICS</t>
  </si>
  <si>
    <t>275000</t>
  </si>
  <si>
    <t>EMPLOYER PAID BENEFITS - ATHLETICS</t>
  </si>
  <si>
    <t>1317</t>
  </si>
  <si>
    <t>12644</t>
  </si>
  <si>
    <t>275010</t>
  </si>
  <si>
    <t>ACCRUED LIMITED SERVICE - ATHLETICS</t>
  </si>
  <si>
    <t>12645</t>
  </si>
  <si>
    <t>275040</t>
  </si>
  <si>
    <t>ERIP ATHLETICS</t>
  </si>
  <si>
    <t>12647</t>
  </si>
  <si>
    <t>101</t>
  </si>
  <si>
    <t>275200</t>
  </si>
  <si>
    <t>DIRECTORS OFFICE - INTERCOLLEGIATE ATHLETICS</t>
  </si>
  <si>
    <t>12649</t>
  </si>
  <si>
    <t>275300</t>
  </si>
  <si>
    <t>BASKETBALL - MEN</t>
  </si>
  <si>
    <t>12650</t>
  </si>
  <si>
    <t>275350</t>
  </si>
  <si>
    <t>ATHLETIC BUSINESS OFFICE</t>
  </si>
  <si>
    <t>12651</t>
  </si>
  <si>
    <t>275400</t>
  </si>
  <si>
    <t>FOOTBALL</t>
  </si>
  <si>
    <t>12652</t>
  </si>
  <si>
    <t>275450</t>
  </si>
  <si>
    <t>GOLF - MEN</t>
  </si>
  <si>
    <t>12653</t>
  </si>
  <si>
    <t>275550</t>
  </si>
  <si>
    <t>SPORTS INFORMATION</t>
  </si>
  <si>
    <t>12654</t>
  </si>
  <si>
    <t>275600</t>
  </si>
  <si>
    <t>SWIMMING - MEN</t>
  </si>
  <si>
    <t>12655</t>
  </si>
  <si>
    <t>275700</t>
  </si>
  <si>
    <t>TRAINING ROOM</t>
  </si>
  <si>
    <t>12656</t>
  </si>
  <si>
    <t>275750</t>
  </si>
  <si>
    <t>WRESTLING</t>
  </si>
  <si>
    <t>12657</t>
  </si>
  <si>
    <t>275800</t>
  </si>
  <si>
    <t>ATHLETIC EQUIPMENT ROOM</t>
  </si>
  <si>
    <t>12658</t>
  </si>
  <si>
    <t>275850</t>
  </si>
  <si>
    <t>ACADEMIC COUNSELOR</t>
  </si>
  <si>
    <t>12659</t>
  </si>
  <si>
    <t>275950</t>
  </si>
  <si>
    <t>ATHLETIC TICKET OFFICE</t>
  </si>
  <si>
    <t>12660</t>
  </si>
  <si>
    <t>276000</t>
  </si>
  <si>
    <t>BASKETBALL - WOMEN</t>
  </si>
  <si>
    <t>12661</t>
  </si>
  <si>
    <t>276150</t>
  </si>
  <si>
    <t>SWIMMING - WOMEN</t>
  </si>
  <si>
    <t>12662</t>
  </si>
  <si>
    <t>276200</t>
  </si>
  <si>
    <t>TRACK - WOMEN</t>
  </si>
  <si>
    <t>12663</t>
  </si>
  <si>
    <t>276210</t>
  </si>
  <si>
    <t>TRACK - MEN</t>
  </si>
  <si>
    <t>12664</t>
  </si>
  <si>
    <t>276250</t>
  </si>
  <si>
    <t>VOLLEYBALL - WOMEN</t>
  </si>
  <si>
    <t>12665</t>
  </si>
  <si>
    <t>276300</t>
  </si>
  <si>
    <t>GOLF - WOMEN</t>
  </si>
  <si>
    <t>12666</t>
  </si>
  <si>
    <t>276400</t>
  </si>
  <si>
    <t>SOCCER - WOMEN</t>
  </si>
  <si>
    <t>12667</t>
  </si>
  <si>
    <t>276500</t>
  </si>
  <si>
    <t>TENNIS - WOMEN</t>
  </si>
  <si>
    <t>12668</t>
  </si>
  <si>
    <t>07</t>
  </si>
  <si>
    <t>MORP</t>
  </si>
  <si>
    <t>278000</t>
  </si>
  <si>
    <t>EMPLOYER PAID BENEFITS - OPER &amp; MAINTENCE OF PLANT</t>
  </si>
  <si>
    <t>12282</t>
  </si>
  <si>
    <t>278010</t>
  </si>
  <si>
    <t>ACCRUED LIMITED SERVICE - OPER &amp; MAINTENCE OF PLANT</t>
  </si>
  <si>
    <t>12284</t>
  </si>
  <si>
    <t>278020</t>
  </si>
  <si>
    <t>ERIP MORP</t>
  </si>
  <si>
    <t>12285</t>
  </si>
  <si>
    <t>450</t>
  </si>
  <si>
    <t>278060</t>
  </si>
  <si>
    <t>DIRECTORS OFFICE - PHYSICAL PLANT</t>
  </si>
  <si>
    <t>12286</t>
  </si>
  <si>
    <t>278070</t>
  </si>
  <si>
    <t>CAMPUS DEPARTMENT</t>
  </si>
  <si>
    <t>12288</t>
  </si>
  <si>
    <t>278080</t>
  </si>
  <si>
    <t>CARPENTER DEPARTMENT</t>
  </si>
  <si>
    <t>12290</t>
  </si>
  <si>
    <t>278090</t>
  </si>
  <si>
    <t>CUSTODIANS</t>
  </si>
  <si>
    <t>12293</t>
  </si>
  <si>
    <t>278100</t>
  </si>
  <si>
    <t>PAINT DEPARTMENT</t>
  </si>
  <si>
    <t>12296</t>
  </si>
  <si>
    <t>278110</t>
  </si>
  <si>
    <t>ELECTRICAL DEPARTMENT</t>
  </si>
  <si>
    <t>12297</t>
  </si>
  <si>
    <t>278120</t>
  </si>
  <si>
    <t>MISCELLANEOUS MAINTENANCE DIRECTORS OFFICE</t>
  </si>
  <si>
    <t>12301</t>
  </si>
  <si>
    <t>278140</t>
  </si>
  <si>
    <t>LANDSCAPING &amp; GARDENING</t>
  </si>
  <si>
    <t>12304</t>
  </si>
  <si>
    <t>278150</t>
  </si>
  <si>
    <t>HVAC MAINTENANCE</t>
  </si>
  <si>
    <t>12306</t>
  </si>
  <si>
    <t>278200</t>
  </si>
  <si>
    <t>PLUMBING DEPARTMENT</t>
  </si>
  <si>
    <t>12307</t>
  </si>
  <si>
    <t>278300</t>
  </si>
  <si>
    <t>CENTRAL ENERGY PLANT</t>
  </si>
  <si>
    <t>12309</t>
  </si>
  <si>
    <t>278350</t>
  </si>
  <si>
    <t>PREVENTIVE MAINTENANCE</t>
  </si>
  <si>
    <t>12311</t>
  </si>
  <si>
    <t>278400</t>
  </si>
  <si>
    <t>CAULKING</t>
  </si>
  <si>
    <t>12313</t>
  </si>
  <si>
    <t>278450</t>
  </si>
  <si>
    <t>RENTALS AND FEES</t>
  </si>
  <si>
    <t>12314</t>
  </si>
  <si>
    <t>278650</t>
  </si>
  <si>
    <t>FACILITIES ENGINEERS</t>
  </si>
  <si>
    <t>12320</t>
  </si>
  <si>
    <t>278850</t>
  </si>
  <si>
    <t>ATHLETIC FACILITIES</t>
  </si>
  <si>
    <t>12322</t>
  </si>
  <si>
    <t>460</t>
  </si>
  <si>
    <t>278900</t>
  </si>
  <si>
    <t>UNIVERSITY FACILITIES PLANNING</t>
  </si>
  <si>
    <t>12324</t>
  </si>
  <si>
    <t>279000</t>
  </si>
  <si>
    <t>STREET REPAIRS</t>
  </si>
  <si>
    <t>12325</t>
  </si>
  <si>
    <t>279010</t>
  </si>
  <si>
    <t>TUNNEL REPAIRS</t>
  </si>
  <si>
    <t>12326</t>
  </si>
  <si>
    <t>279020</t>
  </si>
  <si>
    <t>OFF CAMPUS PROPERTIES - AFTON</t>
  </si>
  <si>
    <t>15421</t>
  </si>
  <si>
    <t>279030</t>
  </si>
  <si>
    <t>ROOF MAINTENANCE</t>
  </si>
  <si>
    <t>12328</t>
  </si>
  <si>
    <t>279040</t>
  </si>
  <si>
    <t>OFF CAMPUS PROPERTIES - ARCHER</t>
  </si>
  <si>
    <t>15422</t>
  </si>
  <si>
    <t>279050</t>
  </si>
  <si>
    <t>OFF CAMPUS PROPERTIES - POWELL</t>
  </si>
  <si>
    <t>15423</t>
  </si>
  <si>
    <t>279070</t>
  </si>
  <si>
    <t>OFF CAMPUS PROPERTIES - SHERIDAN</t>
  </si>
  <si>
    <t>15424</t>
  </si>
  <si>
    <t>279080</t>
  </si>
  <si>
    <t>OFF CAMPUS PROPERTIES - STOCK FARM - AG</t>
  </si>
  <si>
    <t>15420</t>
  </si>
  <si>
    <t>279090</t>
  </si>
  <si>
    <t>OFF CAMPUS PROPERTIES - STOCK FARM - PHYSICAL PLANT</t>
  </si>
  <si>
    <t>12329</t>
  </si>
  <si>
    <t>279100</t>
  </si>
  <si>
    <t>OFF CAMPUS PROPERTIES - TORRINGTON</t>
  </si>
  <si>
    <t>15425</t>
  </si>
  <si>
    <t>279150</t>
  </si>
  <si>
    <t>SPECIAL PHYSICAL PLANT REPAIRS - EQUIPMENT</t>
  </si>
  <si>
    <t>12331</t>
  </si>
  <si>
    <t>279200</t>
  </si>
  <si>
    <t>OFF CAMPUS RESEARCH FACILITIES</t>
  </si>
  <si>
    <t>12333</t>
  </si>
  <si>
    <t>279210</t>
  </si>
  <si>
    <t>OSHA/FIRE MARSHALL</t>
  </si>
  <si>
    <t>12334</t>
  </si>
  <si>
    <t>08</t>
  </si>
  <si>
    <t>INSTITUTIONAL SUPPORT</t>
  </si>
  <si>
    <t>285000</t>
  </si>
  <si>
    <t>EMPLOYER PAID BENEFITS - INSTITUTIONAL SUPPORT</t>
  </si>
  <si>
    <t>12348</t>
  </si>
  <si>
    <t>285010</t>
  </si>
  <si>
    <t>INFO TECH-USER SUPPORT</t>
  </si>
  <si>
    <t>ACCRUED LIMITED SERVICE - INSTITUTIONAL SUPPORT</t>
  </si>
  <si>
    <t>12351</t>
  </si>
  <si>
    <t>285040</t>
  </si>
  <si>
    <t>ERIP INSTITUTIONAL SUPPORT</t>
  </si>
  <si>
    <t>12352</t>
  </si>
  <si>
    <t>400</t>
  </si>
  <si>
    <t>285050</t>
  </si>
  <si>
    <t>TRUSTEES RESERVE</t>
  </si>
  <si>
    <t>12353</t>
  </si>
  <si>
    <t>900</t>
  </si>
  <si>
    <t>285060</t>
  </si>
  <si>
    <t>BOARD OF TRUSTEES</t>
  </si>
  <si>
    <t>12354</t>
  </si>
  <si>
    <t>285070</t>
  </si>
  <si>
    <t>INSTITUTIONAL SUPPORT RESERVE</t>
  </si>
  <si>
    <t>12357</t>
  </si>
  <si>
    <t>100</t>
  </si>
  <si>
    <t>285080</t>
  </si>
  <si>
    <t>OFFICE OF THE PRESIDENT</t>
  </si>
  <si>
    <t>12358</t>
  </si>
  <si>
    <t>700</t>
  </si>
  <si>
    <t>285090</t>
  </si>
  <si>
    <t>FACULTY ATHLETIC REPRESENTATIVE</t>
  </si>
  <si>
    <t>12359</t>
  </si>
  <si>
    <t>285100</t>
  </si>
  <si>
    <t>SPECIAL ASSISTANT TO PRESIDENT</t>
  </si>
  <si>
    <t>12360</t>
  </si>
  <si>
    <t>285120</t>
  </si>
  <si>
    <t>INTERNAL AUDITOR</t>
  </si>
  <si>
    <t>12385</t>
  </si>
  <si>
    <t>285150</t>
  </si>
  <si>
    <t>VICE PRESIDENT FOR STUDENT AFFAIRS</t>
  </si>
  <si>
    <t>12366</t>
  </si>
  <si>
    <t>285160</t>
  </si>
  <si>
    <t>VICE PRESIDENT -  RESEARCH</t>
  </si>
  <si>
    <t>12367</t>
  </si>
  <si>
    <t>285180</t>
  </si>
  <si>
    <t>CONTRACTS &amp; GRANTS ACCOUNTING OFFICE</t>
  </si>
  <si>
    <t>12369</t>
  </si>
  <si>
    <t>600</t>
  </si>
  <si>
    <t>285200</t>
  </si>
  <si>
    <t>ALUMNI RELATIONS</t>
  </si>
  <si>
    <t>12370</t>
  </si>
  <si>
    <t>470</t>
  </si>
  <si>
    <t>285300</t>
  </si>
  <si>
    <t>POSTAL SERVICE</t>
  </si>
  <si>
    <t>12371</t>
  </si>
  <si>
    <t>800</t>
  </si>
  <si>
    <t>285810</t>
  </si>
  <si>
    <t>UNIVERSITY RELATIONS</t>
  </si>
  <si>
    <t>12372</t>
  </si>
  <si>
    <t>440</t>
  </si>
  <si>
    <t>285950</t>
  </si>
  <si>
    <t>HUMAN RESOURCES</t>
  </si>
  <si>
    <t>12374</t>
  </si>
  <si>
    <t xml:space="preserve">   TOTAL COLLEGE OF ARTS &amp; SCIENCES</t>
  </si>
  <si>
    <t>INSTRUCTION - ARTS &amp; SCIENCES</t>
  </si>
  <si>
    <t>GRAD ASSISTS- ARTS &amp; SCIENCES</t>
  </si>
  <si>
    <t>WYO CENTER FOR TEACHING &amp; LEARNING</t>
  </si>
  <si>
    <t>INSTRUCTION - COLLEGE OF HEALTH SCI</t>
  </si>
  <si>
    <t xml:space="preserve"> TOTAL EDUCATION &amp; SERVICE OUTREACH</t>
  </si>
  <si>
    <t>286050</t>
  </si>
  <si>
    <t>INFORMATION TECHNOLOGY - ADMINISTRATIVE SYSTEMS</t>
  </si>
  <si>
    <t>12375</t>
  </si>
  <si>
    <t>286110</t>
  </si>
  <si>
    <t>12377</t>
  </si>
  <si>
    <t>286120</t>
  </si>
  <si>
    <t>12379</t>
  </si>
  <si>
    <t>286130</t>
  </si>
  <si>
    <t>12381</t>
  </si>
  <si>
    <t>286140</t>
  </si>
  <si>
    <t>12383</t>
  </si>
  <si>
    <t>286150</t>
  </si>
  <si>
    <t>INSTITUTIONAL ANALYSIS</t>
  </si>
  <si>
    <t>12384</t>
  </si>
  <si>
    <t>286160</t>
  </si>
  <si>
    <t>INFORMATION TECHNOLOGY - DATA CONNECT SUBSCRIPTION SERVER</t>
  </si>
  <si>
    <t>12363</t>
  </si>
  <si>
    <t>286200</t>
  </si>
  <si>
    <t>UW ARTICULATION</t>
  </si>
  <si>
    <t>12387</t>
  </si>
  <si>
    <t>286220</t>
  </si>
  <si>
    <t>OFFICE OF ACADEMIC AFFAIRS</t>
  </si>
  <si>
    <t>12389</t>
  </si>
  <si>
    <t>286240</t>
  </si>
  <si>
    <t>INTERNATIONAL PROGRAMS</t>
  </si>
  <si>
    <t>12394</t>
  </si>
  <si>
    <t>286270</t>
  </si>
  <si>
    <t>SHIPPING &amp; RECEIVING</t>
  </si>
  <si>
    <t>12397</t>
  </si>
  <si>
    <t>490</t>
  </si>
  <si>
    <t>286300</t>
  </si>
  <si>
    <t>ENVIRONMENTAL HEALTH &amp; SAFETY</t>
  </si>
  <si>
    <t>12398</t>
  </si>
  <si>
    <t>480</t>
  </si>
  <si>
    <t>286320</t>
  </si>
  <si>
    <t>UNIVERSITY POLICE</t>
  </si>
  <si>
    <t>12400</t>
  </si>
  <si>
    <t>286330</t>
  </si>
  <si>
    <t>CENTREX TELEPHONE SERVICE</t>
  </si>
  <si>
    <t>12402</t>
  </si>
  <si>
    <t>286380</t>
  </si>
  <si>
    <t>CENTENNIAL SINGERS</t>
  </si>
  <si>
    <t>12403</t>
  </si>
  <si>
    <t>286390</t>
  </si>
  <si>
    <t>FACULTY SENATE</t>
  </si>
  <si>
    <t>12404</t>
  </si>
  <si>
    <t>286400</t>
  </si>
  <si>
    <t>STAFF SENATE</t>
  </si>
  <si>
    <t>12405</t>
  </si>
  <si>
    <t>286410</t>
  </si>
  <si>
    <t>STAFF SENATE RECOGNITION DAY</t>
  </si>
  <si>
    <t>16356</t>
  </si>
  <si>
    <t>286460</t>
  </si>
  <si>
    <t>COMMENCEMENT EXPENSE</t>
  </si>
  <si>
    <t>12407</t>
  </si>
  <si>
    <t>286480</t>
  </si>
  <si>
    <t>GENERAL EXPENSE</t>
  </si>
  <si>
    <t>12408</t>
  </si>
  <si>
    <t>286500</t>
  </si>
  <si>
    <t>INSURANCE</t>
  </si>
  <si>
    <t>12409</t>
  </si>
  <si>
    <t>286520</t>
  </si>
  <si>
    <t>MOTOR VEHICLE ACCIDENT REPAIRS</t>
  </si>
  <si>
    <t>12410</t>
  </si>
  <si>
    <t>286540</t>
  </si>
  <si>
    <t>NATIONAL AND REGIONAL DUES</t>
  </si>
  <si>
    <t>12411</t>
  </si>
  <si>
    <t>286560</t>
  </si>
  <si>
    <t>PRESIDENTS RESERVE</t>
  </si>
  <si>
    <t>12412</t>
  </si>
  <si>
    <t>286670</t>
  </si>
  <si>
    <t>PRESIDENT EXPENSE ALLOWANCE</t>
  </si>
  <si>
    <t>12413</t>
  </si>
  <si>
    <t>286680</t>
  </si>
  <si>
    <t>UNIVERSITY OF WYOMING VISITORS INFORMATION CENTER</t>
  </si>
  <si>
    <t>12414</t>
  </si>
  <si>
    <t>286700</t>
  </si>
  <si>
    <t>CORRESPONDENCE FEE REFUNDS</t>
  </si>
  <si>
    <t>12415</t>
  </si>
  <si>
    <t>286730</t>
  </si>
  <si>
    <t>REGULAR FEE REFUNDS</t>
  </si>
  <si>
    <t>12416</t>
  </si>
  <si>
    <t>286750</t>
  </si>
  <si>
    <t>TUITION DISCOUNT CHARGES</t>
  </si>
  <si>
    <t>16220</t>
  </si>
  <si>
    <t>286800</t>
  </si>
  <si>
    <t>HAZARDOUS WASTE DISPOSAL</t>
  </si>
  <si>
    <t>12418</t>
  </si>
  <si>
    <t>286820</t>
  </si>
  <si>
    <t>WORK-STUDY MATCH</t>
  </si>
  <si>
    <t>12420</t>
  </si>
  <si>
    <t>286830</t>
  </si>
  <si>
    <t>PERKINS LOAN MATCH</t>
  </si>
  <si>
    <t>12421</t>
  </si>
  <si>
    <t>286840</t>
  </si>
  <si>
    <t>OFFICE OF DEVELOPMENT - INSTITUTIONAL ADVANCEMENT</t>
  </si>
  <si>
    <t>12422</t>
  </si>
  <si>
    <t>286900</t>
  </si>
  <si>
    <t>GENERAL EXPENSE FEES, ETC - RESERVE</t>
  </si>
  <si>
    <t>12424</t>
  </si>
  <si>
    <t>287050</t>
  </si>
  <si>
    <t>VICE PRESIDENT -  ADMINISTRATION &amp; FINANCE</t>
  </si>
  <si>
    <t>12426</t>
  </si>
  <si>
    <t>430</t>
  </si>
  <si>
    <t>287100</t>
  </si>
  <si>
    <t>FINANCIAL PLANNING &amp; BUDGET</t>
  </si>
  <si>
    <t>12429</t>
  </si>
  <si>
    <t>287150</t>
  </si>
  <si>
    <t>FINANCIAL SERVICES</t>
  </si>
  <si>
    <t>12434</t>
  </si>
  <si>
    <t>287200</t>
  </si>
  <si>
    <t>ACCOUNTING OFFICE</t>
  </si>
  <si>
    <t>12437</t>
  </si>
  <si>
    <t>287250</t>
  </si>
  <si>
    <t>CASHIERS OFFICE</t>
  </si>
  <si>
    <t>12438</t>
  </si>
  <si>
    <t>287270</t>
  </si>
  <si>
    <t>PAYROLL OFFICE</t>
  </si>
  <si>
    <t>12439</t>
  </si>
  <si>
    <t>287300</t>
  </si>
  <si>
    <t>PURCHASING OFFICE</t>
  </si>
  <si>
    <t>12440</t>
  </si>
  <si>
    <t>287350</t>
  </si>
  <si>
    <t>STUDENT FINANCIAL OPERATIONS</t>
  </si>
  <si>
    <t>12441</t>
  </si>
  <si>
    <t>287360</t>
  </si>
  <si>
    <t>GOVERNMENTAL AFFAIRS &amp; SPECIAL PROJECTS</t>
  </si>
  <si>
    <t>12442</t>
  </si>
  <si>
    <t>287450</t>
  </si>
  <si>
    <t>RISK MANAGEMENT</t>
  </si>
  <si>
    <t>12443</t>
  </si>
  <si>
    <t>09</t>
  </si>
  <si>
    <t>STUDENT SERVICES</t>
  </si>
  <si>
    <t>288000</t>
  </si>
  <si>
    <t>EMPLOYER PAID BENEFITS - STUDENT SERVICES</t>
  </si>
  <si>
    <t>12445</t>
  </si>
  <si>
    <t>288010</t>
  </si>
  <si>
    <t>ACCRUED LIMITED SERVICE - STUDENT SERVICES</t>
  </si>
  <si>
    <t>12447</t>
  </si>
  <si>
    <t>288020</t>
  </si>
  <si>
    <t>STUDENT AFFAIRS SUPPORT &amp; SERVICE</t>
  </si>
  <si>
    <t>12448</t>
  </si>
  <si>
    <t>288030</t>
  </si>
  <si>
    <t>STUDENT HEALTH SERVICE EPB</t>
  </si>
  <si>
    <t>1311</t>
  </si>
  <si>
    <t>16289</t>
  </si>
  <si>
    <t>288040</t>
  </si>
  <si>
    <t>ERIP STUDENT SERVICE</t>
  </si>
  <si>
    <t>12449</t>
  </si>
  <si>
    <t>288060</t>
  </si>
  <si>
    <t>INTERNATIONAL STUDENT SERVICES - STUDENT AFFAIRS</t>
  </si>
  <si>
    <t>12450</t>
  </si>
  <si>
    <t>288140</t>
  </si>
  <si>
    <t>REGISTRATION &amp; RECORDS</t>
  </si>
  <si>
    <t>12451</t>
  </si>
  <si>
    <t>288150</t>
  </si>
  <si>
    <t>REGISTRAR OFFICE SUMMER SCHOOL</t>
  </si>
  <si>
    <t>12453</t>
  </si>
  <si>
    <t>288160</t>
  </si>
  <si>
    <t>STUDENT EDUCATIONAL OPPORTUNITY</t>
  </si>
  <si>
    <t>12454</t>
  </si>
  <si>
    <t>288200</t>
  </si>
  <si>
    <t>STUDENT FINANCIAL AID</t>
  </si>
  <si>
    <t>12455</t>
  </si>
  <si>
    <t>288320</t>
  </si>
  <si>
    <t>1101</t>
  </si>
  <si>
    <t>1102</t>
  </si>
  <si>
    <t>1103</t>
  </si>
  <si>
    <t>1104</t>
  </si>
  <si>
    <t>1105</t>
  </si>
  <si>
    <t>1106</t>
  </si>
  <si>
    <t>UNIVERSITY COUNSELING CENTER</t>
  </si>
  <si>
    <t>12457</t>
  </si>
  <si>
    <t>288510</t>
  </si>
  <si>
    <t>CULTURAL AFFAIRS</t>
  </si>
  <si>
    <t>12458</t>
  </si>
  <si>
    <t>288530</t>
  </si>
  <si>
    <t>MULTICULTURAL RESOURCE CENTER</t>
  </si>
  <si>
    <t>12460</t>
  </si>
  <si>
    <t>288590</t>
  </si>
  <si>
    <t>PEPSTERS</t>
  </si>
  <si>
    <t>12461</t>
  </si>
  <si>
    <t>288640</t>
  </si>
  <si>
    <t>ACADEMIC ADVISING OFFICE - COLLEGE OF BUSINESS</t>
  </si>
  <si>
    <t>12462</t>
  </si>
  <si>
    <t>288810</t>
  </si>
  <si>
    <t>UNIVERSITY OF WYOMING RIFLE TEAM</t>
  </si>
  <si>
    <t>12463</t>
  </si>
  <si>
    <t>288830</t>
  </si>
  <si>
    <t>RODEO TEAM</t>
  </si>
  <si>
    <t>15520</t>
  </si>
  <si>
    <t>288850</t>
  </si>
  <si>
    <t>UNIVERSITY CONCERT &amp; BAND TRAVEL</t>
  </si>
  <si>
    <t>12464</t>
  </si>
  <si>
    <t>288870</t>
  </si>
  <si>
    <t>WWAMI/UWA CONTRACT</t>
  </si>
  <si>
    <t>16209</t>
  </si>
  <si>
    <t>288880</t>
  </si>
  <si>
    <t>HUMAN MEDICINE INSTRUCTION &amp; CONTRACT - MEDICAL</t>
  </si>
  <si>
    <t>12465</t>
  </si>
  <si>
    <t>288890</t>
  </si>
  <si>
    <t>JOB DEVELOPMENT</t>
  </si>
  <si>
    <t>12466</t>
  </si>
  <si>
    <t>288900</t>
  </si>
  <si>
    <t>TELECOUNSELING/WEST COAST RECRUITMENT</t>
  </si>
  <si>
    <t>12467</t>
  </si>
  <si>
    <t>288910</t>
  </si>
  <si>
    <t>ADMISSIONS RECRUITING PROJECTS FEES</t>
  </si>
  <si>
    <t>12469</t>
  </si>
  <si>
    <t>288920</t>
  </si>
  <si>
    <t>ADMISSIONS</t>
  </si>
  <si>
    <t>12471</t>
  </si>
  <si>
    <t>288930</t>
  </si>
  <si>
    <t>CAREER, PLANNING &amp; PLACEMENT FEES</t>
  </si>
  <si>
    <t>12473</t>
  </si>
  <si>
    <t>288940</t>
  </si>
  <si>
    <t>CAREER SERVICES CENTER</t>
  </si>
  <si>
    <t>12474</t>
  </si>
  <si>
    <t>288950</t>
  </si>
  <si>
    <t>CAREER EXPLORATION OPPORTUNITY PROGRAM (CEOP)</t>
  </si>
  <si>
    <t>12475</t>
  </si>
  <si>
    <t>288960</t>
  </si>
  <si>
    <t>OFFICE OF STUDENT LIFE</t>
  </si>
  <si>
    <t>12476</t>
  </si>
  <si>
    <t>288970</t>
  </si>
  <si>
    <t>INTERNATIONAL STUDENT PROGRAM FEES</t>
  </si>
  <si>
    <t>12478</t>
  </si>
  <si>
    <t>288980</t>
  </si>
  <si>
    <t>DISABLED STUDENTS</t>
  </si>
  <si>
    <t>12479</t>
  </si>
  <si>
    <t>288990</t>
  </si>
  <si>
    <t>DRUG AND ALCOHOL EDUCATION</t>
  </si>
  <si>
    <t>12481</t>
  </si>
  <si>
    <t>289000</t>
  </si>
  <si>
    <t>STUDENT HEALTH SERVICE</t>
  </si>
  <si>
    <t>12482</t>
  </si>
  <si>
    <t>289200</t>
  </si>
  <si>
    <t>STUDENT SERVICES - GENERAL</t>
  </si>
  <si>
    <t>12484</t>
  </si>
  <si>
    <t>289210</t>
  </si>
  <si>
    <t>RECREATION AND WELLNESS</t>
  </si>
  <si>
    <t>16243</t>
  </si>
  <si>
    <t>289250</t>
  </si>
  <si>
    <t>AFRO-AMERICAN EDUCATION</t>
  </si>
  <si>
    <t>12487</t>
  </si>
  <si>
    <t>289260</t>
  </si>
  <si>
    <t>AMERICAN-INDIAN EDUCATION</t>
  </si>
  <si>
    <t>12488</t>
  </si>
  <si>
    <t>289270</t>
  </si>
  <si>
    <t>WOMENS CENTER - ADULT STUDENT CENTER</t>
  </si>
  <si>
    <t>12490</t>
  </si>
  <si>
    <t>289280</t>
  </si>
  <si>
    <t>MINORITY AFFAIRS OFFICE</t>
  </si>
  <si>
    <t>12491</t>
  </si>
  <si>
    <t>289320</t>
  </si>
  <si>
    <t>RECRUITMENT - RETENTION</t>
  </si>
  <si>
    <t>12492</t>
  </si>
  <si>
    <t>11</t>
  </si>
  <si>
    <t>SPONSORED FUNDING</t>
  </si>
  <si>
    <t>421111</t>
  </si>
  <si>
    <t>COMMUNITY MEDICAL EDUCATION</t>
  </si>
  <si>
    <t>1700</t>
  </si>
  <si>
    <t>13164</t>
  </si>
  <si>
    <t>421113</t>
  </si>
  <si>
    <t>DEVELOPMENT OFFICE - CENTENNIAL CAMPAIGN</t>
  </si>
  <si>
    <t>13166</t>
  </si>
  <si>
    <t>421115</t>
  </si>
  <si>
    <t>1702</t>
  </si>
  <si>
    <t>13167</t>
  </si>
  <si>
    <t>421120</t>
  </si>
  <si>
    <t>UNIVERSITY BANDS</t>
  </si>
  <si>
    <t>13168</t>
  </si>
  <si>
    <t>421128</t>
  </si>
  <si>
    <t>PHYSICAL ANTHROPOLOGY LABORATORY</t>
  </si>
  <si>
    <t>13172</t>
  </si>
  <si>
    <t>421133</t>
  </si>
  <si>
    <t>MECHANICAL ENGINEERING REVENUE</t>
  </si>
  <si>
    <t>13174</t>
  </si>
  <si>
    <t>421134</t>
  </si>
  <si>
    <t>UW-NPS RESEARCH CENTER OPERATING</t>
  </si>
  <si>
    <t>13175</t>
  </si>
  <si>
    <t>421138</t>
  </si>
  <si>
    <t>APPLICATION FEES</t>
  </si>
  <si>
    <t>421140</t>
  </si>
  <si>
    <t>UW/CC UPPER DIVISION CENTER</t>
  </si>
  <si>
    <t>13178</t>
  </si>
  <si>
    <t>421143</t>
  </si>
  <si>
    <t>WORKSHOP PUBLICATIONS REVOLVING - POWELL</t>
  </si>
  <si>
    <t>13179</t>
  </si>
  <si>
    <t>421162</t>
  </si>
  <si>
    <t>RADIO PROGRAM DISTRIBUTION</t>
  </si>
  <si>
    <t>1450</t>
  </si>
  <si>
    <t>12697</t>
  </si>
  <si>
    <t>421163</t>
  </si>
  <si>
    <t>KING AIR  SPECIAL PROJECTS</t>
  </si>
  <si>
    <t>13182</t>
  </si>
  <si>
    <t>421165</t>
  </si>
  <si>
    <t>ANIMAL SCIENCE SPECIAL PROJECTS</t>
  </si>
  <si>
    <t>13183</t>
  </si>
  <si>
    <t>421170</t>
  </si>
  <si>
    <t>ANIMAL AND PLANT HEALTH INSPECTION SERVICE (USDA)</t>
  </si>
  <si>
    <t>13186</t>
  </si>
  <si>
    <t>421183</t>
  </si>
  <si>
    <t>GOVERNMENT RESEARCH BUREAU</t>
  </si>
  <si>
    <t>13192</t>
  </si>
  <si>
    <t>421188</t>
  </si>
  <si>
    <t>PHARMACY CLINICAL CONTRACTS</t>
  </si>
  <si>
    <t>13195</t>
  </si>
  <si>
    <t>421192</t>
  </si>
  <si>
    <t>ENVIRONMENTAL AND NATURAL RESOURSES</t>
  </si>
  <si>
    <t>13197</t>
  </si>
  <si>
    <t>421195</t>
  </si>
  <si>
    <t>PROGRAM ENHANCEMENT - HEALTH SCIENCES</t>
  </si>
  <si>
    <t>13198</t>
  </si>
  <si>
    <t>421199</t>
  </si>
  <si>
    <t>MARTEN-FISHER SYUMPOSIUM</t>
  </si>
  <si>
    <t>13202</t>
  </si>
  <si>
    <t>421204</t>
  </si>
  <si>
    <t>GRADUATE ADMISSIONS FEE</t>
  </si>
  <si>
    <t>13206</t>
  </si>
  <si>
    <t>421209</t>
  </si>
  <si>
    <t>BOCES EDUCATION</t>
  </si>
  <si>
    <t>1701</t>
  </si>
  <si>
    <t>13208</t>
  </si>
  <si>
    <t>421210</t>
  </si>
  <si>
    <t>CADKEY SEMINARS</t>
  </si>
  <si>
    <t>13209</t>
  </si>
  <si>
    <t>421212</t>
  </si>
  <si>
    <t>VA HANDLING</t>
  </si>
  <si>
    <t>13210</t>
  </si>
  <si>
    <t>421213</t>
  </si>
  <si>
    <t>ANALYTICAL LAB - GEOLOGY</t>
  </si>
  <si>
    <t>13211</t>
  </si>
  <si>
    <t>421216</t>
  </si>
  <si>
    <t>EQUIPMENT MAINTENANCE-GEOLOGY</t>
  </si>
  <si>
    <t>13214</t>
  </si>
  <si>
    <t>421224</t>
  </si>
  <si>
    <t>SUMMER SESSION - EDUCATION</t>
  </si>
  <si>
    <t>13218</t>
  </si>
  <si>
    <t>421226</t>
  </si>
  <si>
    <t>SUMMER SESSION - ARTS &amp; SCIENCES</t>
  </si>
  <si>
    <t>13220</t>
  </si>
  <si>
    <t>421230</t>
  </si>
  <si>
    <t>LAW SCHOOL APPLICATION FEES</t>
  </si>
  <si>
    <t>13223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</si>
</sst>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#,##0.000_);[Red]\(#,##0.000\)"/>
    <numFmt numFmtId="168" formatCode="#,##0.0_);[Red]\(#,##0.0\)"/>
    <numFmt numFmtId="169" formatCode="#,##0.0000_);[Red]\(#,##0.0000\)"/>
    <numFmt numFmtId="170" formatCode="#,##0.00000_);[Red]\(#,##0.00000\)"/>
    <numFmt numFmtId="171" formatCode="#,##0.000000_);[Red]\(#,##0.000000\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_(* #,##0.00000000_);_(* \(#,##0.00000000\);_(* &quot;-&quot;??_);_(@_)"/>
    <numFmt numFmtId="177" formatCode="_(* #,##0.000000000_);_(* \(#,##0.000000000\);_(* &quot;-&quot;??_);_(@_)"/>
    <numFmt numFmtId="178" formatCode="0.000_);\(0.000\)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(PCL6)"/>
      <family val="2"/>
    </font>
    <font>
      <b/>
      <sz val="10"/>
      <name val="Arial (PCL6)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7" fontId="3" fillId="0" borderId="0" xfId="42" applyNumberFormat="1" applyFont="1" applyAlignment="1">
      <alignment/>
    </xf>
    <xf numFmtId="165" fontId="3" fillId="0" borderId="0" xfId="42" applyNumberFormat="1" applyFont="1" applyAlignment="1">
      <alignment/>
    </xf>
    <xf numFmtId="167" fontId="3" fillId="0" borderId="10" xfId="42" applyNumberFormat="1" applyFont="1" applyBorder="1" applyAlignment="1">
      <alignment/>
    </xf>
    <xf numFmtId="165" fontId="3" fillId="0" borderId="10" xfId="42" applyNumberFormat="1" applyFont="1" applyBorder="1" applyAlignment="1">
      <alignment/>
    </xf>
    <xf numFmtId="178" fontId="3" fillId="0" borderId="0" xfId="0" applyNumberFormat="1" applyFont="1" applyAlignment="1">
      <alignment/>
    </xf>
    <xf numFmtId="165" fontId="3" fillId="0" borderId="0" xfId="42" applyNumberFormat="1" applyFont="1" applyAlignment="1">
      <alignment horizontal="right"/>
    </xf>
    <xf numFmtId="178" fontId="3" fillId="0" borderId="0" xfId="42" applyNumberFormat="1" applyFont="1" applyAlignment="1">
      <alignment/>
    </xf>
    <xf numFmtId="166" fontId="3" fillId="0" borderId="0" xfId="42" applyNumberFormat="1" applyFont="1" applyAlignment="1">
      <alignment/>
    </xf>
    <xf numFmtId="165" fontId="3" fillId="0" borderId="0" xfId="42" applyNumberFormat="1" applyFont="1" applyBorder="1" applyAlignment="1">
      <alignment/>
    </xf>
    <xf numFmtId="178" fontId="3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/>
    </xf>
    <xf numFmtId="38" fontId="3" fillId="0" borderId="10" xfId="42" applyNumberFormat="1" applyFont="1" applyBorder="1" applyAlignment="1">
      <alignment/>
    </xf>
    <xf numFmtId="167" fontId="3" fillId="0" borderId="0" xfId="42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8" fontId="3" fillId="0" borderId="0" xfId="42" applyNumberFormat="1" applyFont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67" fontId="3" fillId="0" borderId="11" xfId="42" applyNumberFormat="1" applyFont="1" applyBorder="1" applyAlignment="1">
      <alignment/>
    </xf>
    <xf numFmtId="165" fontId="3" fillId="0" borderId="11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O1159"/>
  <sheetViews>
    <sheetView tabSelected="1" zoomScalePageLayoutView="0" workbookViewId="0" topLeftCell="E620">
      <selection activeCell="V1113" sqref="V1113"/>
    </sheetView>
  </sheetViews>
  <sheetFormatPr defaultColWidth="9.140625" defaultRowHeight="12.75"/>
  <cols>
    <col min="1" max="1" width="7.28125" style="3" hidden="1" customWidth="1"/>
    <col min="2" max="2" width="8.140625" style="3" hidden="1" customWidth="1"/>
    <col min="3" max="3" width="28.57421875" style="3" hidden="1" customWidth="1"/>
    <col min="4" max="4" width="7.8515625" style="3" hidden="1" customWidth="1"/>
    <col min="5" max="5" width="7.00390625" style="3" customWidth="1"/>
    <col min="6" max="6" width="8.28125" style="3" customWidth="1"/>
    <col min="7" max="7" width="7.28125" style="3" customWidth="1"/>
    <col min="8" max="8" width="6.140625" style="3" customWidth="1"/>
    <col min="9" max="9" width="48.140625" style="3" customWidth="1"/>
    <col min="10" max="10" width="8.7109375" style="3" customWidth="1"/>
    <col min="11" max="11" width="10.57421875" style="3" customWidth="1"/>
    <col min="12" max="12" width="11.57421875" style="3" customWidth="1"/>
    <col min="13" max="13" width="10.28125" style="3" customWidth="1"/>
    <col min="14" max="14" width="13.7109375" style="3" customWidth="1"/>
    <col min="15" max="15" width="10.140625" style="3" customWidth="1"/>
    <col min="16" max="16" width="12.8515625" style="3" customWidth="1"/>
    <col min="17" max="17" width="11.8515625" style="3" customWidth="1"/>
    <col min="18" max="18" width="14.140625" style="3" customWidth="1"/>
    <col min="19" max="19" width="0.13671875" style="3" customWidth="1"/>
    <col min="20" max="20" width="13.7109375" style="3" customWidth="1"/>
    <col min="21" max="21" width="13.00390625" style="3" customWidth="1"/>
    <col min="22" max="22" width="11.7109375" style="3" customWidth="1"/>
    <col min="23" max="23" width="12.421875" style="3" customWidth="1"/>
    <col min="24" max="24" width="11.28125" style="3" customWidth="1"/>
    <col min="25" max="25" width="11.140625" style="3" hidden="1" customWidth="1"/>
    <col min="26" max="26" width="15.421875" style="3" customWidth="1"/>
    <col min="27" max="27" width="11.8515625" style="3" bestFit="1" customWidth="1"/>
    <col min="28" max="16384" width="9.140625" style="3" customWidth="1"/>
  </cols>
  <sheetData>
    <row r="2" spans="1:26" ht="12.75">
      <c r="A2" s="17"/>
      <c r="B2" s="17"/>
      <c r="C2" s="17"/>
      <c r="D2" s="17" t="s">
        <v>1079</v>
      </c>
      <c r="E2" s="17" t="s">
        <v>2341</v>
      </c>
      <c r="F2" s="17" t="s">
        <v>2342</v>
      </c>
      <c r="G2" s="17" t="s">
        <v>128</v>
      </c>
      <c r="H2" s="17" t="s">
        <v>1549</v>
      </c>
      <c r="I2" s="17" t="s">
        <v>1080</v>
      </c>
      <c r="J2" s="26" t="s">
        <v>2540</v>
      </c>
      <c r="K2" s="26"/>
      <c r="L2" s="26"/>
      <c r="M2" s="26"/>
      <c r="N2" s="17" t="s">
        <v>1556</v>
      </c>
      <c r="O2" s="17"/>
      <c r="P2" s="17" t="s">
        <v>1557</v>
      </c>
      <c r="Q2" s="17"/>
      <c r="R2" s="17" t="s">
        <v>1558</v>
      </c>
      <c r="S2" s="17"/>
      <c r="T2" s="17" t="s">
        <v>1583</v>
      </c>
      <c r="U2" s="17"/>
      <c r="V2" s="17" t="s">
        <v>1562</v>
      </c>
      <c r="W2" s="17"/>
      <c r="X2" s="17"/>
      <c r="Y2" s="17"/>
      <c r="Z2" s="26"/>
    </row>
    <row r="3" spans="1:26" ht="12.75">
      <c r="A3" s="17"/>
      <c r="B3" s="17"/>
      <c r="C3" s="17"/>
      <c r="D3" s="17" t="s">
        <v>2540</v>
      </c>
      <c r="E3" s="17" t="s">
        <v>2540</v>
      </c>
      <c r="F3" s="17" t="s">
        <v>2540</v>
      </c>
      <c r="G3" s="17" t="s">
        <v>129</v>
      </c>
      <c r="H3" s="17" t="s">
        <v>2540</v>
      </c>
      <c r="I3" s="17"/>
      <c r="J3" s="26"/>
      <c r="K3" s="26"/>
      <c r="L3" s="26"/>
      <c r="M3" s="17" t="s">
        <v>270</v>
      </c>
      <c r="N3" s="17" t="s">
        <v>1554</v>
      </c>
      <c r="O3" s="17" t="s">
        <v>2343</v>
      </c>
      <c r="P3" s="17" t="s">
        <v>1554</v>
      </c>
      <c r="Q3" s="17" t="s">
        <v>272</v>
      </c>
      <c r="R3" s="17" t="s">
        <v>1559</v>
      </c>
      <c r="S3" s="17"/>
      <c r="T3" s="17" t="s">
        <v>1554</v>
      </c>
      <c r="U3" s="17" t="s">
        <v>1561</v>
      </c>
      <c r="V3" s="17" t="s">
        <v>1563</v>
      </c>
      <c r="W3" s="17" t="s">
        <v>1565</v>
      </c>
      <c r="X3" s="17" t="s">
        <v>1567</v>
      </c>
      <c r="Y3" s="17"/>
      <c r="Z3" s="26"/>
    </row>
    <row r="4" spans="1:26" ht="12.75">
      <c r="A4" s="17"/>
      <c r="B4" s="17"/>
      <c r="C4" s="17"/>
      <c r="D4" s="17" t="s">
        <v>2540</v>
      </c>
      <c r="E4" s="17" t="s">
        <v>2540</v>
      </c>
      <c r="F4" s="17" t="s">
        <v>2540</v>
      </c>
      <c r="G4" s="17" t="s">
        <v>2540</v>
      </c>
      <c r="H4" s="17" t="s">
        <v>2540</v>
      </c>
      <c r="I4" s="17"/>
      <c r="J4" s="17" t="s">
        <v>1550</v>
      </c>
      <c r="K4" s="17" t="s">
        <v>1552</v>
      </c>
      <c r="L4" s="17" t="s">
        <v>1553</v>
      </c>
      <c r="M4" s="17" t="s">
        <v>271</v>
      </c>
      <c r="N4" s="17" t="s">
        <v>1555</v>
      </c>
      <c r="O4" s="17" t="s">
        <v>2344</v>
      </c>
      <c r="P4" s="17" t="s">
        <v>1555</v>
      </c>
      <c r="Q4" s="17" t="s">
        <v>273</v>
      </c>
      <c r="R4" s="17" t="s">
        <v>1560</v>
      </c>
      <c r="S4" s="17"/>
      <c r="T4" s="17" t="s">
        <v>1023</v>
      </c>
      <c r="U4" s="17" t="s">
        <v>1555</v>
      </c>
      <c r="V4" s="17" t="s">
        <v>1564</v>
      </c>
      <c r="W4" s="17" t="s">
        <v>1566</v>
      </c>
      <c r="X4" s="17" t="s">
        <v>1555</v>
      </c>
      <c r="Y4" s="17"/>
      <c r="Z4" s="17" t="s">
        <v>1583</v>
      </c>
    </row>
    <row r="5" spans="1:26" ht="13.5" thickBot="1">
      <c r="A5" s="17" t="s">
        <v>1569</v>
      </c>
      <c r="B5" s="17" t="s">
        <v>1570</v>
      </c>
      <c r="C5" s="17" t="s">
        <v>1571</v>
      </c>
      <c r="D5" s="18" t="s">
        <v>2540</v>
      </c>
      <c r="E5" s="18" t="s">
        <v>2540</v>
      </c>
      <c r="F5" s="18" t="s">
        <v>2540</v>
      </c>
      <c r="G5" s="18" t="s">
        <v>2540</v>
      </c>
      <c r="H5" s="18" t="s">
        <v>2540</v>
      </c>
      <c r="I5" s="18"/>
      <c r="J5" s="18" t="s">
        <v>1551</v>
      </c>
      <c r="K5" s="18" t="s">
        <v>1551</v>
      </c>
      <c r="L5" s="18" t="s">
        <v>1551</v>
      </c>
      <c r="M5" s="18" t="s">
        <v>1551</v>
      </c>
      <c r="N5" s="18">
        <v>1000</v>
      </c>
      <c r="O5" s="18">
        <v>1100</v>
      </c>
      <c r="P5" s="18">
        <v>1200</v>
      </c>
      <c r="Q5" s="18">
        <v>1400</v>
      </c>
      <c r="R5" s="18">
        <v>1900</v>
      </c>
      <c r="S5" s="18" t="s">
        <v>1582</v>
      </c>
      <c r="T5" s="18" t="s">
        <v>1024</v>
      </c>
      <c r="U5" s="18">
        <v>2000</v>
      </c>
      <c r="V5" s="18">
        <v>6000</v>
      </c>
      <c r="W5" s="18">
        <v>8000</v>
      </c>
      <c r="X5" s="18">
        <v>9000</v>
      </c>
      <c r="Y5" s="18" t="s">
        <v>1583</v>
      </c>
      <c r="Z5" s="18" t="s">
        <v>2540</v>
      </c>
    </row>
    <row r="6" spans="1:26" ht="13.5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 t="s">
        <v>2540</v>
      </c>
      <c r="S6" s="18" t="s">
        <v>1630</v>
      </c>
      <c r="T6" s="17" t="s">
        <v>2540</v>
      </c>
      <c r="U6" s="17"/>
      <c r="V6" s="17"/>
      <c r="W6" s="17"/>
      <c r="X6" s="17"/>
      <c r="Y6" s="17"/>
      <c r="Z6" s="17"/>
    </row>
    <row r="7" spans="1:26" ht="13.5" thickBot="1">
      <c r="A7" s="17"/>
      <c r="B7" s="17"/>
      <c r="C7" s="17"/>
      <c r="D7" s="17"/>
      <c r="E7" s="17"/>
      <c r="F7" s="17"/>
      <c r="G7" s="17"/>
      <c r="H7" s="17"/>
      <c r="I7" s="19" t="s">
        <v>1586</v>
      </c>
      <c r="J7" s="17"/>
      <c r="K7" s="17"/>
      <c r="L7" s="17"/>
      <c r="M7" s="17"/>
      <c r="N7" s="17"/>
      <c r="O7" s="17"/>
      <c r="P7" s="17"/>
      <c r="Q7" s="17"/>
      <c r="R7" s="17" t="s">
        <v>2540</v>
      </c>
      <c r="S7" s="18" t="s">
        <v>1631</v>
      </c>
      <c r="T7" s="17" t="s">
        <v>2540</v>
      </c>
      <c r="U7" s="17"/>
      <c r="V7" s="17"/>
      <c r="W7" s="17"/>
      <c r="X7" s="17"/>
      <c r="Y7" s="17"/>
      <c r="Z7" s="17"/>
    </row>
    <row r="8" spans="1:26" ht="13.5" thickBo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 t="s">
        <v>2540</v>
      </c>
      <c r="S8" s="18" t="s">
        <v>1632</v>
      </c>
      <c r="T8" s="17" t="s">
        <v>2540</v>
      </c>
      <c r="U8" s="17"/>
      <c r="V8" s="17"/>
      <c r="W8" s="17"/>
      <c r="X8" s="17"/>
      <c r="Y8" s="17"/>
      <c r="Z8" s="17"/>
    </row>
    <row r="9" spans="1:27" ht="12.75">
      <c r="A9" s="3" t="s">
        <v>1584</v>
      </c>
      <c r="B9" s="3" t="s">
        <v>1585</v>
      </c>
      <c r="C9" s="3" t="s">
        <v>1586</v>
      </c>
      <c r="D9" s="3" t="s">
        <v>1587</v>
      </c>
      <c r="E9" s="3" t="s">
        <v>1589</v>
      </c>
      <c r="F9" s="3" t="s">
        <v>1590</v>
      </c>
      <c r="G9" s="3" t="s">
        <v>1591</v>
      </c>
      <c r="H9" s="3" t="s">
        <v>1592</v>
      </c>
      <c r="I9" s="3" t="s">
        <v>1588</v>
      </c>
      <c r="J9" s="4">
        <v>0</v>
      </c>
      <c r="K9" s="4">
        <v>0</v>
      </c>
      <c r="L9" s="4">
        <v>0</v>
      </c>
      <c r="M9" s="4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f>SUM(N9:R9)</f>
        <v>0</v>
      </c>
      <c r="U9" s="5">
        <v>0</v>
      </c>
      <c r="V9" s="5">
        <v>180136</v>
      </c>
      <c r="W9" s="5">
        <v>0</v>
      </c>
      <c r="X9" s="5">
        <v>0</v>
      </c>
      <c r="Y9" s="5">
        <v>180136</v>
      </c>
      <c r="Z9" s="5">
        <f>SUM(T9:X9)</f>
        <v>180136</v>
      </c>
      <c r="AA9" s="20">
        <f>+Y9-Z9</f>
        <v>0</v>
      </c>
    </row>
    <row r="10" spans="1:27" ht="12.75">
      <c r="A10" s="3" t="s">
        <v>1584</v>
      </c>
      <c r="B10" s="3" t="s">
        <v>1585</v>
      </c>
      <c r="C10" s="3" t="s">
        <v>1586</v>
      </c>
      <c r="D10" s="3" t="s">
        <v>1593</v>
      </c>
      <c r="E10" s="3" t="s">
        <v>1589</v>
      </c>
      <c r="F10" s="3" t="s">
        <v>1595</v>
      </c>
      <c r="G10" s="3" t="s">
        <v>1591</v>
      </c>
      <c r="H10" s="3" t="s">
        <v>1592</v>
      </c>
      <c r="I10" s="3" t="s">
        <v>1594</v>
      </c>
      <c r="J10" s="4">
        <v>0</v>
      </c>
      <c r="K10" s="4">
        <v>0</v>
      </c>
      <c r="L10" s="4">
        <v>0</v>
      </c>
      <c r="M10" s="4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f aca="true" t="shared" si="0" ref="T10:T73">SUM(N10:R10)</f>
        <v>0</v>
      </c>
      <c r="U10" s="5">
        <v>0</v>
      </c>
      <c r="V10" s="5">
        <v>45232</v>
      </c>
      <c r="W10" s="5">
        <v>0</v>
      </c>
      <c r="X10" s="5">
        <v>0</v>
      </c>
      <c r="Y10" s="5">
        <v>45232</v>
      </c>
      <c r="Z10" s="5">
        <f aca="true" t="shared" si="1" ref="Z10:Z73">SUM(T10:X10)</f>
        <v>45232</v>
      </c>
      <c r="AA10" s="20">
        <f aca="true" t="shared" si="2" ref="AA10:AA74">+Y10-Z10</f>
        <v>0</v>
      </c>
    </row>
    <row r="11" spans="1:27" ht="12.75">
      <c r="A11" s="3" t="s">
        <v>1584</v>
      </c>
      <c r="B11" s="3" t="s">
        <v>1585</v>
      </c>
      <c r="C11" s="3" t="s">
        <v>1586</v>
      </c>
      <c r="D11" s="3" t="s">
        <v>1596</v>
      </c>
      <c r="E11" s="3" t="s">
        <v>1589</v>
      </c>
      <c r="F11" s="3" t="s">
        <v>1598</v>
      </c>
      <c r="G11" s="3" t="s">
        <v>1591</v>
      </c>
      <c r="H11" s="3" t="s">
        <v>1592</v>
      </c>
      <c r="I11" s="3" t="s">
        <v>1597</v>
      </c>
      <c r="J11" s="4">
        <v>0</v>
      </c>
      <c r="K11" s="4">
        <v>0</v>
      </c>
      <c r="L11" s="4">
        <v>0</v>
      </c>
      <c r="M11" s="4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f t="shared" si="0"/>
        <v>0</v>
      </c>
      <c r="U11" s="5">
        <v>0</v>
      </c>
      <c r="V11" s="5">
        <v>1497960</v>
      </c>
      <c r="W11" s="5">
        <v>0</v>
      </c>
      <c r="X11" s="5">
        <v>0</v>
      </c>
      <c r="Y11" s="5">
        <v>1497960</v>
      </c>
      <c r="Z11" s="5">
        <f t="shared" si="1"/>
        <v>1497960</v>
      </c>
      <c r="AA11" s="20">
        <f t="shared" si="2"/>
        <v>0</v>
      </c>
    </row>
    <row r="12" spans="1:27" ht="12.75">
      <c r="A12" s="3" t="s">
        <v>1584</v>
      </c>
      <c r="B12" s="3" t="s">
        <v>1585</v>
      </c>
      <c r="C12" s="3" t="s">
        <v>1586</v>
      </c>
      <c r="D12" s="3" t="s">
        <v>1599</v>
      </c>
      <c r="E12" s="3" t="s">
        <v>1589</v>
      </c>
      <c r="F12" s="3" t="s">
        <v>1601</v>
      </c>
      <c r="G12" s="3" t="s">
        <v>1591</v>
      </c>
      <c r="H12" s="3" t="s">
        <v>1592</v>
      </c>
      <c r="I12" s="3" t="s">
        <v>1600</v>
      </c>
      <c r="J12" s="4">
        <v>0</v>
      </c>
      <c r="K12" s="4">
        <v>0</v>
      </c>
      <c r="L12" s="4">
        <v>0</v>
      </c>
      <c r="M12" s="4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f t="shared" si="0"/>
        <v>0</v>
      </c>
      <c r="U12" s="5">
        <v>0</v>
      </c>
      <c r="V12" s="5">
        <v>43300</v>
      </c>
      <c r="W12" s="5">
        <v>0</v>
      </c>
      <c r="X12" s="5">
        <v>0</v>
      </c>
      <c r="Y12" s="5">
        <v>43300</v>
      </c>
      <c r="Z12" s="5">
        <f t="shared" si="1"/>
        <v>43300</v>
      </c>
      <c r="AA12" s="20">
        <f t="shared" si="2"/>
        <v>0</v>
      </c>
    </row>
    <row r="13" spans="1:27" ht="12.75">
      <c r="A13" s="3" t="s">
        <v>1584</v>
      </c>
      <c r="B13" s="3" t="s">
        <v>1585</v>
      </c>
      <c r="C13" s="3" t="s">
        <v>1586</v>
      </c>
      <c r="D13" s="3" t="s">
        <v>1602</v>
      </c>
      <c r="E13" s="3" t="s">
        <v>1589</v>
      </c>
      <c r="F13" s="3" t="s">
        <v>1604</v>
      </c>
      <c r="G13" s="3" t="s">
        <v>1591</v>
      </c>
      <c r="H13" s="3" t="s">
        <v>1592</v>
      </c>
      <c r="I13" s="3" t="s">
        <v>1603</v>
      </c>
      <c r="J13" s="4">
        <v>0</v>
      </c>
      <c r="K13" s="4">
        <v>0</v>
      </c>
      <c r="L13" s="4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f t="shared" si="0"/>
        <v>0</v>
      </c>
      <c r="U13" s="5">
        <v>0</v>
      </c>
      <c r="V13" s="5">
        <v>2082800</v>
      </c>
      <c r="W13" s="5">
        <v>0</v>
      </c>
      <c r="X13" s="5">
        <v>0</v>
      </c>
      <c r="Y13" s="5">
        <v>2082800</v>
      </c>
      <c r="Z13" s="5">
        <f t="shared" si="1"/>
        <v>2082800</v>
      </c>
      <c r="AA13" s="20">
        <f t="shared" si="2"/>
        <v>0</v>
      </c>
    </row>
    <row r="14" spans="1:27" ht="12.75">
      <c r="A14" s="3" t="s">
        <v>1584</v>
      </c>
      <c r="B14" s="3" t="s">
        <v>1585</v>
      </c>
      <c r="C14" s="3" t="s">
        <v>1586</v>
      </c>
      <c r="D14" s="3" t="s">
        <v>1605</v>
      </c>
      <c r="E14" s="3" t="s">
        <v>1589</v>
      </c>
      <c r="F14" s="3" t="s">
        <v>1607</v>
      </c>
      <c r="G14" s="3" t="s">
        <v>1591</v>
      </c>
      <c r="H14" s="3" t="s">
        <v>1592</v>
      </c>
      <c r="I14" s="3" t="s">
        <v>1606</v>
      </c>
      <c r="J14" s="4">
        <v>0</v>
      </c>
      <c r="K14" s="4">
        <v>0</v>
      </c>
      <c r="L14" s="4">
        <v>0</v>
      </c>
      <c r="M14" s="4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f t="shared" si="0"/>
        <v>0</v>
      </c>
      <c r="U14" s="5">
        <v>0</v>
      </c>
      <c r="V14" s="5">
        <v>36840</v>
      </c>
      <c r="W14" s="5">
        <v>0</v>
      </c>
      <c r="X14" s="5">
        <v>0</v>
      </c>
      <c r="Y14" s="5">
        <v>36840</v>
      </c>
      <c r="Z14" s="5">
        <f t="shared" si="1"/>
        <v>36840</v>
      </c>
      <c r="AA14" s="20">
        <f t="shared" si="2"/>
        <v>0</v>
      </c>
    </row>
    <row r="15" spans="1:27" ht="12.75">
      <c r="A15" s="3" t="s">
        <v>1584</v>
      </c>
      <c r="B15" s="3" t="s">
        <v>1585</v>
      </c>
      <c r="C15" s="3" t="s">
        <v>1586</v>
      </c>
      <c r="D15" s="3" t="s">
        <v>1608</v>
      </c>
      <c r="E15" s="3" t="s">
        <v>1589</v>
      </c>
      <c r="F15" s="3" t="s">
        <v>1610</v>
      </c>
      <c r="G15" s="3" t="s">
        <v>1591</v>
      </c>
      <c r="H15" s="3" t="s">
        <v>1592</v>
      </c>
      <c r="I15" s="3" t="s">
        <v>1609</v>
      </c>
      <c r="J15" s="4">
        <v>0</v>
      </c>
      <c r="K15" s="4">
        <v>0</v>
      </c>
      <c r="L15" s="4">
        <v>0</v>
      </c>
      <c r="M15" s="4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f t="shared" si="0"/>
        <v>0</v>
      </c>
      <c r="U15" s="5">
        <v>0</v>
      </c>
      <c r="V15" s="5">
        <v>10000</v>
      </c>
      <c r="W15" s="5">
        <v>0</v>
      </c>
      <c r="X15" s="5">
        <v>0</v>
      </c>
      <c r="Y15" s="5">
        <v>10000</v>
      </c>
      <c r="Z15" s="5">
        <f t="shared" si="1"/>
        <v>10000</v>
      </c>
      <c r="AA15" s="20">
        <f t="shared" si="2"/>
        <v>0</v>
      </c>
    </row>
    <row r="16" spans="1:27" ht="12.75">
      <c r="A16" s="3" t="s">
        <v>1584</v>
      </c>
      <c r="B16" s="3" t="s">
        <v>1585</v>
      </c>
      <c r="C16" s="3" t="s">
        <v>1586</v>
      </c>
      <c r="D16" s="3" t="s">
        <v>1611</v>
      </c>
      <c r="E16" s="3" t="s">
        <v>1589</v>
      </c>
      <c r="F16" s="3" t="s">
        <v>1613</v>
      </c>
      <c r="G16" s="3" t="s">
        <v>1591</v>
      </c>
      <c r="H16" s="3" t="s">
        <v>1592</v>
      </c>
      <c r="I16" s="3" t="s">
        <v>1612</v>
      </c>
      <c r="J16" s="4">
        <v>0</v>
      </c>
      <c r="K16" s="4">
        <v>0</v>
      </c>
      <c r="L16" s="4">
        <v>0</v>
      </c>
      <c r="M16" s="4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f t="shared" si="0"/>
        <v>0</v>
      </c>
      <c r="U16" s="5">
        <v>0</v>
      </c>
      <c r="V16" s="5">
        <v>324912</v>
      </c>
      <c r="W16" s="5">
        <v>0</v>
      </c>
      <c r="X16" s="5">
        <v>0</v>
      </c>
      <c r="Y16" s="5">
        <v>324912</v>
      </c>
      <c r="Z16" s="5">
        <f t="shared" si="1"/>
        <v>324912</v>
      </c>
      <c r="AA16" s="20">
        <f t="shared" si="2"/>
        <v>0</v>
      </c>
    </row>
    <row r="17" spans="1:27" ht="12.75">
      <c r="A17" s="3" t="s">
        <v>1584</v>
      </c>
      <c r="B17" s="3" t="s">
        <v>1585</v>
      </c>
      <c r="C17" s="3" t="s">
        <v>1586</v>
      </c>
      <c r="D17" s="3" t="s">
        <v>1614</v>
      </c>
      <c r="E17" s="3" t="s">
        <v>1589</v>
      </c>
      <c r="F17" s="3" t="s">
        <v>1616</v>
      </c>
      <c r="G17" s="3" t="s">
        <v>1591</v>
      </c>
      <c r="H17" s="3" t="s">
        <v>1592</v>
      </c>
      <c r="I17" s="3" t="s">
        <v>1615</v>
      </c>
      <c r="J17" s="4">
        <v>0</v>
      </c>
      <c r="K17" s="4">
        <v>0</v>
      </c>
      <c r="L17" s="4">
        <v>0</v>
      </c>
      <c r="M17" s="4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f t="shared" si="0"/>
        <v>0</v>
      </c>
      <c r="U17" s="5">
        <v>0</v>
      </c>
      <c r="V17" s="5">
        <v>119456</v>
      </c>
      <c r="W17" s="5">
        <v>0</v>
      </c>
      <c r="X17" s="5">
        <v>0</v>
      </c>
      <c r="Y17" s="5">
        <v>119456</v>
      </c>
      <c r="Z17" s="5">
        <f t="shared" si="1"/>
        <v>119456</v>
      </c>
      <c r="AA17" s="20">
        <f t="shared" si="2"/>
        <v>0</v>
      </c>
    </row>
    <row r="18" spans="1:27" ht="12.75">
      <c r="A18" s="3" t="s">
        <v>1584</v>
      </c>
      <c r="B18" s="3" t="s">
        <v>1585</v>
      </c>
      <c r="C18" s="3" t="s">
        <v>1586</v>
      </c>
      <c r="D18" s="3" t="s">
        <v>1617</v>
      </c>
      <c r="E18" s="3" t="s">
        <v>1589</v>
      </c>
      <c r="F18" s="3" t="s">
        <v>1619</v>
      </c>
      <c r="G18" s="3" t="s">
        <v>1591</v>
      </c>
      <c r="H18" s="3" t="s">
        <v>1592</v>
      </c>
      <c r="I18" s="3" t="s">
        <v>1618</v>
      </c>
      <c r="J18" s="4">
        <v>0</v>
      </c>
      <c r="K18" s="4">
        <v>0</v>
      </c>
      <c r="L18" s="4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f t="shared" si="0"/>
        <v>0</v>
      </c>
      <c r="U18" s="5">
        <v>0</v>
      </c>
      <c r="V18" s="5">
        <v>97812</v>
      </c>
      <c r="W18" s="5">
        <v>0</v>
      </c>
      <c r="X18" s="5">
        <v>0</v>
      </c>
      <c r="Y18" s="5">
        <v>97812</v>
      </c>
      <c r="Z18" s="5">
        <f t="shared" si="1"/>
        <v>97812</v>
      </c>
      <c r="AA18" s="20">
        <f t="shared" si="2"/>
        <v>0</v>
      </c>
    </row>
    <row r="19" spans="1:27" ht="12.75">
      <c r="A19" s="3" t="s">
        <v>1584</v>
      </c>
      <c r="B19" s="3" t="s">
        <v>1585</v>
      </c>
      <c r="C19" s="3" t="s">
        <v>1586</v>
      </c>
      <c r="D19" s="3" t="s">
        <v>1620</v>
      </c>
      <c r="E19" s="3" t="s">
        <v>1589</v>
      </c>
      <c r="F19" s="3" t="s">
        <v>1622</v>
      </c>
      <c r="G19" s="3" t="s">
        <v>1591</v>
      </c>
      <c r="H19" s="3" t="s">
        <v>1592</v>
      </c>
      <c r="I19" s="3" t="s">
        <v>1621</v>
      </c>
      <c r="J19" s="4">
        <v>0</v>
      </c>
      <c r="K19" s="4">
        <v>0</v>
      </c>
      <c r="L19" s="4">
        <v>0</v>
      </c>
      <c r="M19" s="4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f t="shared" si="0"/>
        <v>0</v>
      </c>
      <c r="U19" s="5">
        <v>0</v>
      </c>
      <c r="V19" s="5">
        <v>19380</v>
      </c>
      <c r="W19" s="5">
        <v>0</v>
      </c>
      <c r="X19" s="5">
        <v>0</v>
      </c>
      <c r="Y19" s="5">
        <v>19380</v>
      </c>
      <c r="Z19" s="5">
        <f t="shared" si="1"/>
        <v>19380</v>
      </c>
      <c r="AA19" s="20">
        <f t="shared" si="2"/>
        <v>0</v>
      </c>
    </row>
    <row r="20" spans="1:27" ht="12.75">
      <c r="A20" s="3" t="s">
        <v>1584</v>
      </c>
      <c r="B20" s="3" t="s">
        <v>1585</v>
      </c>
      <c r="C20" s="3" t="s">
        <v>1586</v>
      </c>
      <c r="D20" s="3" t="s">
        <v>1623</v>
      </c>
      <c r="E20" s="3" t="s">
        <v>1589</v>
      </c>
      <c r="F20" s="3" t="s">
        <v>1625</v>
      </c>
      <c r="G20" s="3" t="s">
        <v>1591</v>
      </c>
      <c r="H20" s="3" t="s">
        <v>1592</v>
      </c>
      <c r="I20" s="3" t="s">
        <v>1624</v>
      </c>
      <c r="J20" s="4">
        <v>0</v>
      </c>
      <c r="K20" s="4">
        <v>0</v>
      </c>
      <c r="L20" s="4">
        <v>0</v>
      </c>
      <c r="M20" s="4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f t="shared" si="0"/>
        <v>0</v>
      </c>
      <c r="U20" s="5">
        <v>0</v>
      </c>
      <c r="V20" s="5">
        <v>20000</v>
      </c>
      <c r="W20" s="5">
        <v>0</v>
      </c>
      <c r="X20" s="5">
        <v>0</v>
      </c>
      <c r="Y20" s="5">
        <v>20000</v>
      </c>
      <c r="Z20" s="5">
        <f t="shared" si="1"/>
        <v>20000</v>
      </c>
      <c r="AA20" s="20">
        <f t="shared" si="2"/>
        <v>0</v>
      </c>
    </row>
    <row r="21" spans="1:27" ht="12.75">
      <c r="A21" s="3" t="s">
        <v>1584</v>
      </c>
      <c r="B21" s="3" t="s">
        <v>1585</v>
      </c>
      <c r="C21" s="3" t="s">
        <v>1586</v>
      </c>
      <c r="D21" s="3" t="s">
        <v>1626</v>
      </c>
      <c r="E21" s="3" t="s">
        <v>1589</v>
      </c>
      <c r="F21" s="3" t="s">
        <v>1628</v>
      </c>
      <c r="G21" s="3" t="s">
        <v>1591</v>
      </c>
      <c r="H21" s="3" t="s">
        <v>1592</v>
      </c>
      <c r="I21" s="3" t="s">
        <v>1627</v>
      </c>
      <c r="J21" s="4">
        <v>0</v>
      </c>
      <c r="K21" s="4">
        <v>0</v>
      </c>
      <c r="L21" s="4">
        <v>0</v>
      </c>
      <c r="M21" s="4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f t="shared" si="0"/>
        <v>0</v>
      </c>
      <c r="U21" s="5">
        <v>0</v>
      </c>
      <c r="V21" s="5">
        <v>686200</v>
      </c>
      <c r="W21" s="5">
        <v>0</v>
      </c>
      <c r="X21" s="5">
        <v>0</v>
      </c>
      <c r="Y21" s="5">
        <v>686200</v>
      </c>
      <c r="Z21" s="5">
        <f t="shared" si="1"/>
        <v>686200</v>
      </c>
      <c r="AA21" s="20">
        <f t="shared" si="2"/>
        <v>0</v>
      </c>
    </row>
    <row r="22" spans="1:27" ht="12.75">
      <c r="A22" s="3" t="s">
        <v>1584</v>
      </c>
      <c r="B22" s="3" t="s">
        <v>1585</v>
      </c>
      <c r="C22" s="3" t="s">
        <v>1586</v>
      </c>
      <c r="D22" s="3" t="s">
        <v>1629</v>
      </c>
      <c r="E22" s="3" t="s">
        <v>1589</v>
      </c>
      <c r="F22" s="3" t="s">
        <v>1640</v>
      </c>
      <c r="G22" s="3" t="s">
        <v>1591</v>
      </c>
      <c r="H22" s="3" t="s">
        <v>1592</v>
      </c>
      <c r="I22" s="3" t="s">
        <v>2353</v>
      </c>
      <c r="J22" s="4">
        <v>0</v>
      </c>
      <c r="K22" s="4">
        <v>0</v>
      </c>
      <c r="L22" s="4">
        <v>0</v>
      </c>
      <c r="M22" s="4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f t="shared" si="0"/>
        <v>0</v>
      </c>
      <c r="U22" s="5">
        <v>0</v>
      </c>
      <c r="V22" s="5">
        <v>161280</v>
      </c>
      <c r="W22" s="5">
        <v>0</v>
      </c>
      <c r="X22" s="5">
        <v>0</v>
      </c>
      <c r="Y22" s="5">
        <v>161280</v>
      </c>
      <c r="Z22" s="5">
        <f t="shared" si="1"/>
        <v>161280</v>
      </c>
      <c r="AA22" s="20">
        <f t="shared" si="2"/>
        <v>0</v>
      </c>
    </row>
    <row r="23" spans="1:27" ht="12.75">
      <c r="A23" s="3" t="s">
        <v>1584</v>
      </c>
      <c r="B23" s="3" t="s">
        <v>1585</v>
      </c>
      <c r="C23" s="3" t="s">
        <v>1586</v>
      </c>
      <c r="D23" s="3" t="s">
        <v>1641</v>
      </c>
      <c r="E23" s="3" t="s">
        <v>1589</v>
      </c>
      <c r="F23" s="3" t="s">
        <v>1643</v>
      </c>
      <c r="G23" s="3" t="s">
        <v>1591</v>
      </c>
      <c r="H23" s="3" t="s">
        <v>1592</v>
      </c>
      <c r="I23" s="3" t="s">
        <v>1642</v>
      </c>
      <c r="J23" s="4">
        <v>0</v>
      </c>
      <c r="K23" s="4">
        <v>0</v>
      </c>
      <c r="L23" s="4">
        <v>0</v>
      </c>
      <c r="M23" s="4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f t="shared" si="0"/>
        <v>0</v>
      </c>
      <c r="U23" s="5">
        <v>0</v>
      </c>
      <c r="V23" s="5">
        <v>69392</v>
      </c>
      <c r="W23" s="5">
        <v>0</v>
      </c>
      <c r="X23" s="5">
        <v>0</v>
      </c>
      <c r="Y23" s="5">
        <v>69392</v>
      </c>
      <c r="Z23" s="5">
        <f t="shared" si="1"/>
        <v>69392</v>
      </c>
      <c r="AA23" s="20">
        <f t="shared" si="2"/>
        <v>0</v>
      </c>
    </row>
    <row r="24" spans="1:27" ht="12.75">
      <c r="A24" s="3" t="s">
        <v>1584</v>
      </c>
      <c r="B24" s="3" t="s">
        <v>1585</v>
      </c>
      <c r="C24" s="3" t="s">
        <v>1586</v>
      </c>
      <c r="D24" s="3" t="s">
        <v>1644</v>
      </c>
      <c r="E24" s="3" t="s">
        <v>1589</v>
      </c>
      <c r="F24" s="3" t="s">
        <v>1646</v>
      </c>
      <c r="G24" s="3" t="s">
        <v>1591</v>
      </c>
      <c r="H24" s="3" t="s">
        <v>1592</v>
      </c>
      <c r="I24" s="3" t="s">
        <v>1645</v>
      </c>
      <c r="J24" s="4">
        <v>0</v>
      </c>
      <c r="K24" s="4">
        <v>0</v>
      </c>
      <c r="L24" s="4">
        <v>0</v>
      </c>
      <c r="M24" s="4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f t="shared" si="0"/>
        <v>0</v>
      </c>
      <c r="U24" s="5">
        <v>0</v>
      </c>
      <c r="V24" s="5">
        <v>173952</v>
      </c>
      <c r="W24" s="5">
        <v>0</v>
      </c>
      <c r="X24" s="5">
        <v>0</v>
      </c>
      <c r="Y24" s="5">
        <v>173952</v>
      </c>
      <c r="Z24" s="5">
        <f t="shared" si="1"/>
        <v>173952</v>
      </c>
      <c r="AA24" s="20">
        <f t="shared" si="2"/>
        <v>0</v>
      </c>
    </row>
    <row r="25" spans="1:27" ht="12.75">
      <c r="A25" s="3" t="s">
        <v>1584</v>
      </c>
      <c r="B25" s="3" t="s">
        <v>1585</v>
      </c>
      <c r="C25" s="3" t="s">
        <v>1586</v>
      </c>
      <c r="D25" s="3" t="s">
        <v>1647</v>
      </c>
      <c r="E25" s="3" t="s">
        <v>1589</v>
      </c>
      <c r="F25" s="3" t="s">
        <v>1649</v>
      </c>
      <c r="G25" s="3" t="s">
        <v>1591</v>
      </c>
      <c r="H25" s="3" t="s">
        <v>1592</v>
      </c>
      <c r="I25" s="3" t="s">
        <v>1648</v>
      </c>
      <c r="J25" s="4">
        <v>0</v>
      </c>
      <c r="K25" s="4">
        <v>0</v>
      </c>
      <c r="L25" s="4">
        <v>0</v>
      </c>
      <c r="M25" s="4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f t="shared" si="0"/>
        <v>0</v>
      </c>
      <c r="U25" s="5">
        <v>0</v>
      </c>
      <c r="V25" s="5">
        <v>50400</v>
      </c>
      <c r="W25" s="5">
        <v>0</v>
      </c>
      <c r="X25" s="5">
        <v>0</v>
      </c>
      <c r="Y25" s="5">
        <v>50400</v>
      </c>
      <c r="Z25" s="5">
        <f t="shared" si="1"/>
        <v>50400</v>
      </c>
      <c r="AA25" s="20">
        <f t="shared" si="2"/>
        <v>0</v>
      </c>
    </row>
    <row r="26" spans="1:27" ht="12.75">
      <c r="A26" s="3" t="s">
        <v>1584</v>
      </c>
      <c r="B26" s="3" t="s">
        <v>1585</v>
      </c>
      <c r="C26" s="3" t="s">
        <v>1586</v>
      </c>
      <c r="D26" s="3" t="s">
        <v>1650</v>
      </c>
      <c r="E26" s="3" t="s">
        <v>1589</v>
      </c>
      <c r="F26" s="3" t="s">
        <v>1652</v>
      </c>
      <c r="G26" s="3" t="s">
        <v>1591</v>
      </c>
      <c r="H26" s="3" t="s">
        <v>1592</v>
      </c>
      <c r="I26" s="3" t="s">
        <v>1651</v>
      </c>
      <c r="J26" s="4">
        <v>0</v>
      </c>
      <c r="K26" s="4">
        <v>0</v>
      </c>
      <c r="L26" s="4">
        <v>0</v>
      </c>
      <c r="M26" s="4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f t="shared" si="0"/>
        <v>0</v>
      </c>
      <c r="U26" s="5">
        <v>0</v>
      </c>
      <c r="V26" s="5">
        <v>15000</v>
      </c>
      <c r="W26" s="5">
        <v>0</v>
      </c>
      <c r="X26" s="5">
        <v>0</v>
      </c>
      <c r="Y26" s="5">
        <v>15000</v>
      </c>
      <c r="Z26" s="5">
        <f t="shared" si="1"/>
        <v>15000</v>
      </c>
      <c r="AA26" s="20">
        <f t="shared" si="2"/>
        <v>0</v>
      </c>
    </row>
    <row r="27" spans="1:27" ht="12.75">
      <c r="A27" s="3" t="s">
        <v>1584</v>
      </c>
      <c r="B27" s="3" t="s">
        <v>1585</v>
      </c>
      <c r="C27" s="3" t="s">
        <v>1586</v>
      </c>
      <c r="D27" s="3" t="s">
        <v>1653</v>
      </c>
      <c r="E27" s="3" t="s">
        <v>1589</v>
      </c>
      <c r="F27" s="3" t="s">
        <v>1655</v>
      </c>
      <c r="G27" s="3" t="s">
        <v>1591</v>
      </c>
      <c r="H27" s="3" t="s">
        <v>1592</v>
      </c>
      <c r="I27" s="3" t="s">
        <v>1654</v>
      </c>
      <c r="J27" s="4">
        <v>0</v>
      </c>
      <c r="K27" s="4">
        <v>0</v>
      </c>
      <c r="L27" s="4">
        <v>0</v>
      </c>
      <c r="M27" s="4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f t="shared" si="0"/>
        <v>0</v>
      </c>
      <c r="U27" s="5">
        <v>0</v>
      </c>
      <c r="V27" s="5">
        <v>120000</v>
      </c>
      <c r="W27" s="5">
        <v>0</v>
      </c>
      <c r="X27" s="5">
        <v>0</v>
      </c>
      <c r="Y27" s="5">
        <v>120000</v>
      </c>
      <c r="Z27" s="5">
        <f t="shared" si="1"/>
        <v>120000</v>
      </c>
      <c r="AA27" s="20">
        <f t="shared" si="2"/>
        <v>0</v>
      </c>
    </row>
    <row r="28" spans="1:27" ht="12.75">
      <c r="A28" s="3" t="s">
        <v>1584</v>
      </c>
      <c r="B28" s="3" t="s">
        <v>1585</v>
      </c>
      <c r="C28" s="3" t="s">
        <v>1586</v>
      </c>
      <c r="D28" s="3" t="s">
        <v>1656</v>
      </c>
      <c r="E28" s="3" t="s">
        <v>1589</v>
      </c>
      <c r="F28" s="3" t="s">
        <v>1658</v>
      </c>
      <c r="G28" s="3" t="s">
        <v>1591</v>
      </c>
      <c r="H28" s="3" t="s">
        <v>1592</v>
      </c>
      <c r="I28" s="3" t="s">
        <v>1657</v>
      </c>
      <c r="J28" s="4">
        <v>0</v>
      </c>
      <c r="K28" s="4">
        <v>0</v>
      </c>
      <c r="L28" s="4">
        <v>0</v>
      </c>
      <c r="M28" s="4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f t="shared" si="0"/>
        <v>0</v>
      </c>
      <c r="U28" s="5">
        <v>0</v>
      </c>
      <c r="V28" s="5">
        <v>120000</v>
      </c>
      <c r="W28" s="5">
        <v>0</v>
      </c>
      <c r="X28" s="5">
        <v>0</v>
      </c>
      <c r="Y28" s="5">
        <v>120000</v>
      </c>
      <c r="Z28" s="5">
        <f t="shared" si="1"/>
        <v>120000</v>
      </c>
      <c r="AA28" s="20">
        <f t="shared" si="2"/>
        <v>0</v>
      </c>
    </row>
    <row r="29" spans="1:27" ht="12.75">
      <c r="A29" s="3" t="s">
        <v>1584</v>
      </c>
      <c r="B29" s="3" t="s">
        <v>1585</v>
      </c>
      <c r="C29" s="3" t="s">
        <v>1586</v>
      </c>
      <c r="D29" s="3" t="s">
        <v>1659</v>
      </c>
      <c r="E29" s="3" t="s">
        <v>1589</v>
      </c>
      <c r="F29" s="3" t="s">
        <v>1661</v>
      </c>
      <c r="G29" s="3" t="s">
        <v>1591</v>
      </c>
      <c r="H29" s="3" t="s">
        <v>1592</v>
      </c>
      <c r="I29" s="3" t="s">
        <v>1660</v>
      </c>
      <c r="J29" s="4">
        <v>0</v>
      </c>
      <c r="K29" s="4">
        <v>0</v>
      </c>
      <c r="L29" s="4">
        <v>0</v>
      </c>
      <c r="M29" s="4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f t="shared" si="0"/>
        <v>0</v>
      </c>
      <c r="U29" s="5">
        <v>0</v>
      </c>
      <c r="V29" s="5">
        <v>1023950</v>
      </c>
      <c r="W29" s="5">
        <v>0</v>
      </c>
      <c r="X29" s="5">
        <v>0</v>
      </c>
      <c r="Y29" s="5">
        <v>1023950</v>
      </c>
      <c r="Z29" s="5">
        <f t="shared" si="1"/>
        <v>1023950</v>
      </c>
      <c r="AA29" s="20">
        <f t="shared" si="2"/>
        <v>0</v>
      </c>
    </row>
    <row r="30" spans="1:27" ht="12.75">
      <c r="A30" s="3" t="s">
        <v>1584</v>
      </c>
      <c r="B30" s="3" t="s">
        <v>1585</v>
      </c>
      <c r="C30" s="3" t="s">
        <v>1586</v>
      </c>
      <c r="D30" s="3" t="s">
        <v>1662</v>
      </c>
      <c r="E30" s="3" t="s">
        <v>1589</v>
      </c>
      <c r="F30" s="3" t="s">
        <v>1664</v>
      </c>
      <c r="G30" s="3" t="s">
        <v>1591</v>
      </c>
      <c r="H30" s="3" t="s">
        <v>1592</v>
      </c>
      <c r="I30" s="3" t="s">
        <v>1663</v>
      </c>
      <c r="J30" s="4">
        <v>0</v>
      </c>
      <c r="K30" s="4">
        <v>0</v>
      </c>
      <c r="L30" s="4">
        <v>0</v>
      </c>
      <c r="M30" s="4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f t="shared" si="0"/>
        <v>0</v>
      </c>
      <c r="U30" s="5">
        <v>0</v>
      </c>
      <c r="V30" s="5">
        <v>126681</v>
      </c>
      <c r="W30" s="5">
        <v>0</v>
      </c>
      <c r="X30" s="5">
        <v>0</v>
      </c>
      <c r="Y30" s="5">
        <v>126681</v>
      </c>
      <c r="Z30" s="5">
        <f t="shared" si="1"/>
        <v>126681</v>
      </c>
      <c r="AA30" s="20">
        <f t="shared" si="2"/>
        <v>0</v>
      </c>
    </row>
    <row r="31" spans="1:27" ht="13.5" thickBot="1">
      <c r="A31" s="3" t="s">
        <v>1584</v>
      </c>
      <c r="B31" s="3" t="s">
        <v>1585</v>
      </c>
      <c r="C31" s="3" t="s">
        <v>1586</v>
      </c>
      <c r="D31" s="21" t="s">
        <v>1665</v>
      </c>
      <c r="E31" s="21" t="s">
        <v>1589</v>
      </c>
      <c r="F31" s="21" t="s">
        <v>1667</v>
      </c>
      <c r="G31" s="21" t="s">
        <v>1591</v>
      </c>
      <c r="H31" s="21" t="s">
        <v>1592</v>
      </c>
      <c r="I31" s="21" t="s">
        <v>1666</v>
      </c>
      <c r="J31" s="6">
        <v>0</v>
      </c>
      <c r="K31" s="6">
        <v>0</v>
      </c>
      <c r="L31" s="6">
        <v>0</v>
      </c>
      <c r="M31" s="6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f t="shared" si="0"/>
        <v>0</v>
      </c>
      <c r="U31" s="7">
        <v>0</v>
      </c>
      <c r="V31" s="7">
        <v>30000</v>
      </c>
      <c r="W31" s="7">
        <v>0</v>
      </c>
      <c r="X31" s="7">
        <v>0</v>
      </c>
      <c r="Y31" s="7">
        <v>30000</v>
      </c>
      <c r="Z31" s="7">
        <f t="shared" si="1"/>
        <v>30000</v>
      </c>
      <c r="AA31" s="20">
        <f t="shared" si="2"/>
        <v>0</v>
      </c>
    </row>
    <row r="32" spans="4:27" ht="12.75">
      <c r="D32" s="21"/>
      <c r="E32" s="21"/>
      <c r="F32" s="21"/>
      <c r="G32" s="21"/>
      <c r="H32" s="21"/>
      <c r="I32" s="21"/>
      <c r="J32" s="16"/>
      <c r="K32" s="16"/>
      <c r="L32" s="16"/>
      <c r="M32" s="16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20"/>
    </row>
    <row r="33" spans="9:27" ht="12.75">
      <c r="I33" s="3" t="s">
        <v>1081</v>
      </c>
      <c r="J33" s="4">
        <f>SUM(J9:J31)</f>
        <v>0</v>
      </c>
      <c r="K33" s="4">
        <f aca="true" t="shared" si="3" ref="K33:Y33">SUM(K9:K31)</f>
        <v>0</v>
      </c>
      <c r="L33" s="4">
        <f t="shared" si="3"/>
        <v>0</v>
      </c>
      <c r="M33" s="4">
        <f t="shared" si="3"/>
        <v>0</v>
      </c>
      <c r="N33" s="5">
        <f t="shared" si="3"/>
        <v>0</v>
      </c>
      <c r="O33" s="5">
        <f t="shared" si="3"/>
        <v>0</v>
      </c>
      <c r="P33" s="5">
        <f t="shared" si="3"/>
        <v>0</v>
      </c>
      <c r="Q33" s="5">
        <f t="shared" si="3"/>
        <v>0</v>
      </c>
      <c r="R33" s="5">
        <f t="shared" si="3"/>
        <v>0</v>
      </c>
      <c r="S33" s="5">
        <f t="shared" si="3"/>
        <v>0</v>
      </c>
      <c r="T33" s="12">
        <f t="shared" si="0"/>
        <v>0</v>
      </c>
      <c r="U33" s="5">
        <f t="shared" si="3"/>
        <v>0</v>
      </c>
      <c r="V33" s="5">
        <f t="shared" si="3"/>
        <v>7054683</v>
      </c>
      <c r="W33" s="5">
        <f t="shared" si="3"/>
        <v>0</v>
      </c>
      <c r="X33" s="5">
        <f t="shared" si="3"/>
        <v>0</v>
      </c>
      <c r="Y33" s="5">
        <f t="shared" si="3"/>
        <v>7054683</v>
      </c>
      <c r="Z33" s="5">
        <f t="shared" si="1"/>
        <v>7054683</v>
      </c>
      <c r="AA33" s="20">
        <f t="shared" si="2"/>
        <v>0</v>
      </c>
    </row>
    <row r="34" spans="10:28" ht="12.75">
      <c r="J34" s="4"/>
      <c r="K34" s="4"/>
      <c r="L34" s="4"/>
      <c r="M34" s="4"/>
      <c r="N34" s="5"/>
      <c r="O34" s="5"/>
      <c r="P34" s="5"/>
      <c r="Q34" s="5"/>
      <c r="R34" s="5"/>
      <c r="S34" s="5"/>
      <c r="T34" s="5" t="s">
        <v>2540</v>
      </c>
      <c r="U34" s="5"/>
      <c r="V34" s="5"/>
      <c r="W34" s="5"/>
      <c r="X34" s="5"/>
      <c r="Y34" s="5"/>
      <c r="Z34" s="5" t="s">
        <v>2540</v>
      </c>
      <c r="AA34" s="20" t="s">
        <v>2540</v>
      </c>
      <c r="AB34" s="3" t="s">
        <v>2540</v>
      </c>
    </row>
    <row r="35" spans="3:27" ht="12.75">
      <c r="C35" s="3" t="s">
        <v>2540</v>
      </c>
      <c r="I35" s="3" t="s">
        <v>1670</v>
      </c>
      <c r="J35" s="4"/>
      <c r="K35" s="4"/>
      <c r="L35" s="4"/>
      <c r="M35" s="4"/>
      <c r="N35" s="5"/>
      <c r="O35" s="5"/>
      <c r="P35" s="5"/>
      <c r="Q35" s="5"/>
      <c r="R35" s="5"/>
      <c r="S35" s="5"/>
      <c r="T35" s="5" t="s">
        <v>2540</v>
      </c>
      <c r="U35" s="5"/>
      <c r="V35" s="5"/>
      <c r="W35" s="5"/>
      <c r="X35" s="5"/>
      <c r="Y35" s="5"/>
      <c r="Z35" s="5" t="s">
        <v>2540</v>
      </c>
      <c r="AA35" s="20" t="s">
        <v>2540</v>
      </c>
    </row>
    <row r="36" spans="10:27" ht="12.75">
      <c r="J36" s="4"/>
      <c r="K36" s="4"/>
      <c r="L36" s="4"/>
      <c r="M36" s="4"/>
      <c r="N36" s="5"/>
      <c r="O36" s="5"/>
      <c r="P36" s="5"/>
      <c r="Q36" s="5"/>
      <c r="R36" s="5"/>
      <c r="S36" s="5"/>
      <c r="T36" s="5" t="s">
        <v>2540</v>
      </c>
      <c r="U36" s="5"/>
      <c r="V36" s="5"/>
      <c r="W36" s="5"/>
      <c r="X36" s="5"/>
      <c r="Y36" s="5"/>
      <c r="Z36" s="5" t="s">
        <v>2540</v>
      </c>
      <c r="AA36" s="20" t="s">
        <v>2540</v>
      </c>
    </row>
    <row r="37" spans="1:27" ht="12.75">
      <c r="A37" s="3" t="s">
        <v>1668</v>
      </c>
      <c r="B37" s="3" t="s">
        <v>1669</v>
      </c>
      <c r="C37" s="3" t="s">
        <v>1670</v>
      </c>
      <c r="D37" s="3" t="s">
        <v>1671</v>
      </c>
      <c r="E37" s="3" t="s">
        <v>1589</v>
      </c>
      <c r="F37" s="3" t="s">
        <v>1673</v>
      </c>
      <c r="G37" s="3" t="s">
        <v>1591</v>
      </c>
      <c r="H37" s="3" t="s">
        <v>1592</v>
      </c>
      <c r="I37" s="3" t="s">
        <v>1672</v>
      </c>
      <c r="J37" s="4">
        <v>0</v>
      </c>
      <c r="K37" s="4">
        <v>0</v>
      </c>
      <c r="L37" s="4">
        <v>0</v>
      </c>
      <c r="M37" s="4">
        <v>0</v>
      </c>
      <c r="N37" s="5">
        <v>0</v>
      </c>
      <c r="O37" s="5">
        <v>0</v>
      </c>
      <c r="P37" s="5">
        <v>0</v>
      </c>
      <c r="Q37" s="5">
        <v>0</v>
      </c>
      <c r="R37" s="5">
        <f>11637190-169995-180408</f>
        <v>11286787</v>
      </c>
      <c r="S37" s="5">
        <v>0</v>
      </c>
      <c r="T37" s="5">
        <f t="shared" si="0"/>
        <v>11286787</v>
      </c>
      <c r="U37" s="5">
        <f aca="true" t="shared" si="4" ref="U37:U45">SUM(S37:S37)</f>
        <v>0</v>
      </c>
      <c r="V37" s="5">
        <v>0</v>
      </c>
      <c r="W37" s="5">
        <v>0</v>
      </c>
      <c r="X37" s="5">
        <v>0</v>
      </c>
      <c r="Y37" s="5">
        <v>11286787</v>
      </c>
      <c r="Z37" s="5">
        <f t="shared" si="1"/>
        <v>11286787</v>
      </c>
      <c r="AA37" s="20">
        <f t="shared" si="2"/>
        <v>0</v>
      </c>
    </row>
    <row r="38" spans="1:27" ht="12.75">
      <c r="A38" s="3" t="s">
        <v>1668</v>
      </c>
      <c r="B38" s="3" t="s">
        <v>1669</v>
      </c>
      <c r="C38" s="3" t="s">
        <v>1670</v>
      </c>
      <c r="D38" s="3" t="s">
        <v>1674</v>
      </c>
      <c r="E38" s="3" t="s">
        <v>1589</v>
      </c>
      <c r="F38" s="3" t="s">
        <v>1676</v>
      </c>
      <c r="G38" s="3" t="s">
        <v>1591</v>
      </c>
      <c r="H38" s="3" t="s">
        <v>1592</v>
      </c>
      <c r="I38" s="3" t="s">
        <v>1675</v>
      </c>
      <c r="J38" s="4">
        <v>0</v>
      </c>
      <c r="K38" s="4">
        <v>0</v>
      </c>
      <c r="L38" s="4">
        <v>0</v>
      </c>
      <c r="M38" s="4">
        <v>0</v>
      </c>
      <c r="N38" s="5">
        <v>0</v>
      </c>
      <c r="O38" s="5">
        <v>0</v>
      </c>
      <c r="P38" s="5">
        <v>0</v>
      </c>
      <c r="Q38" s="5">
        <v>0</v>
      </c>
      <c r="R38" s="5">
        <v>80135</v>
      </c>
      <c r="S38" s="5">
        <v>0</v>
      </c>
      <c r="T38" s="5">
        <f t="shared" si="0"/>
        <v>80135</v>
      </c>
      <c r="U38" s="5">
        <f t="shared" si="4"/>
        <v>0</v>
      </c>
      <c r="V38" s="5">
        <v>0</v>
      </c>
      <c r="W38" s="5">
        <v>0</v>
      </c>
      <c r="X38" s="5">
        <v>0</v>
      </c>
      <c r="Y38" s="5">
        <v>80135</v>
      </c>
      <c r="Z38" s="5">
        <f t="shared" si="1"/>
        <v>80135</v>
      </c>
      <c r="AA38" s="20">
        <f t="shared" si="2"/>
        <v>0</v>
      </c>
    </row>
    <row r="39" spans="1:27" ht="12.75">
      <c r="A39" s="3" t="s">
        <v>1668</v>
      </c>
      <c r="B39" s="3" t="s">
        <v>1669</v>
      </c>
      <c r="C39" s="3" t="s">
        <v>1670</v>
      </c>
      <c r="D39" s="3" t="s">
        <v>1677</v>
      </c>
      <c r="E39" s="3" t="s">
        <v>1589</v>
      </c>
      <c r="F39" s="3" t="s">
        <v>1679</v>
      </c>
      <c r="G39" s="3" t="s">
        <v>1591</v>
      </c>
      <c r="H39" s="3" t="s">
        <v>1592</v>
      </c>
      <c r="I39" s="3" t="s">
        <v>1678</v>
      </c>
      <c r="J39" s="4">
        <v>0</v>
      </c>
      <c r="K39" s="4">
        <v>0</v>
      </c>
      <c r="L39" s="4">
        <v>0</v>
      </c>
      <c r="M39" s="4">
        <v>0</v>
      </c>
      <c r="N39" s="5">
        <v>0</v>
      </c>
      <c r="O39" s="5">
        <v>169995</v>
      </c>
      <c r="P39" s="5">
        <v>0</v>
      </c>
      <c r="Q39" s="5">
        <v>0</v>
      </c>
      <c r="R39" s="5">
        <v>75000</v>
      </c>
      <c r="S39" s="5">
        <v>0</v>
      </c>
      <c r="T39" s="5">
        <f t="shared" si="0"/>
        <v>244995</v>
      </c>
      <c r="U39" s="5">
        <f t="shared" si="4"/>
        <v>0</v>
      </c>
      <c r="V39" s="5">
        <v>0</v>
      </c>
      <c r="W39" s="5">
        <v>0</v>
      </c>
      <c r="X39" s="5">
        <v>0</v>
      </c>
      <c r="Y39" s="5">
        <v>244995</v>
      </c>
      <c r="Z39" s="5">
        <f t="shared" si="1"/>
        <v>244995</v>
      </c>
      <c r="AA39" s="20">
        <f t="shared" si="2"/>
        <v>0</v>
      </c>
    </row>
    <row r="40" spans="1:27" ht="12.75">
      <c r="A40" s="3" t="s">
        <v>1680</v>
      </c>
      <c r="B40" s="3" t="s">
        <v>1669</v>
      </c>
      <c r="C40" s="3" t="s">
        <v>1670</v>
      </c>
      <c r="D40" s="3" t="s">
        <v>1681</v>
      </c>
      <c r="E40" s="3" t="s">
        <v>1589</v>
      </c>
      <c r="F40" s="3" t="s">
        <v>1683</v>
      </c>
      <c r="G40" s="3" t="s">
        <v>1591</v>
      </c>
      <c r="H40" s="3" t="s">
        <v>1592</v>
      </c>
      <c r="I40" s="3" t="s">
        <v>1633</v>
      </c>
      <c r="J40" s="4">
        <v>0</v>
      </c>
      <c r="K40" s="4">
        <v>0</v>
      </c>
      <c r="L40" s="4">
        <v>0</v>
      </c>
      <c r="M40" s="4">
        <v>0</v>
      </c>
      <c r="N40" s="5">
        <v>0</v>
      </c>
      <c r="O40" s="5">
        <v>0</v>
      </c>
      <c r="P40" s="5">
        <v>0</v>
      </c>
      <c r="Q40" s="5">
        <v>0</v>
      </c>
      <c r="R40" s="5">
        <v>10414</v>
      </c>
      <c r="S40" s="5">
        <v>0</v>
      </c>
      <c r="T40" s="5">
        <f t="shared" si="0"/>
        <v>10414</v>
      </c>
      <c r="U40" s="5">
        <f t="shared" si="4"/>
        <v>0</v>
      </c>
      <c r="V40" s="5">
        <v>0</v>
      </c>
      <c r="W40" s="5">
        <v>0</v>
      </c>
      <c r="X40" s="5">
        <v>0</v>
      </c>
      <c r="Y40" s="5">
        <v>10414</v>
      </c>
      <c r="Z40" s="5">
        <f t="shared" si="1"/>
        <v>10414</v>
      </c>
      <c r="AA40" s="20">
        <f t="shared" si="2"/>
        <v>0</v>
      </c>
    </row>
    <row r="41" spans="1:27" ht="12.75">
      <c r="A41" s="3" t="s">
        <v>1680</v>
      </c>
      <c r="B41" s="3" t="s">
        <v>1669</v>
      </c>
      <c r="C41" s="3" t="s">
        <v>1670</v>
      </c>
      <c r="D41" s="3" t="s">
        <v>1684</v>
      </c>
      <c r="E41" s="3" t="s">
        <v>1589</v>
      </c>
      <c r="F41" s="3" t="s">
        <v>1686</v>
      </c>
      <c r="G41" s="3" t="s">
        <v>1591</v>
      </c>
      <c r="H41" s="3" t="s">
        <v>1592</v>
      </c>
      <c r="I41" s="3" t="s">
        <v>1634</v>
      </c>
      <c r="J41" s="4">
        <v>0</v>
      </c>
      <c r="K41" s="4">
        <v>0</v>
      </c>
      <c r="L41" s="4">
        <v>0</v>
      </c>
      <c r="M41" s="4">
        <v>0</v>
      </c>
      <c r="N41" s="5">
        <v>0</v>
      </c>
      <c r="O41" s="5">
        <v>0</v>
      </c>
      <c r="P41" s="5">
        <v>0</v>
      </c>
      <c r="Q41" s="5">
        <v>0</v>
      </c>
      <c r="R41" s="5">
        <v>100327</v>
      </c>
      <c r="S41" s="5">
        <v>0</v>
      </c>
      <c r="T41" s="5">
        <f t="shared" si="0"/>
        <v>100327</v>
      </c>
      <c r="U41" s="5">
        <f t="shared" si="4"/>
        <v>0</v>
      </c>
      <c r="V41" s="5">
        <v>0</v>
      </c>
      <c r="W41" s="5">
        <v>0</v>
      </c>
      <c r="X41" s="5">
        <v>0</v>
      </c>
      <c r="Y41" s="5">
        <v>100327</v>
      </c>
      <c r="Z41" s="5">
        <f t="shared" si="1"/>
        <v>100327</v>
      </c>
      <c r="AA41" s="20">
        <f t="shared" si="2"/>
        <v>0</v>
      </c>
    </row>
    <row r="42" spans="1:27" ht="12.75">
      <c r="A42" s="3" t="s">
        <v>1680</v>
      </c>
      <c r="B42" s="3" t="s">
        <v>1669</v>
      </c>
      <c r="C42" s="3" t="s">
        <v>1670</v>
      </c>
      <c r="D42" s="3" t="s">
        <v>1687</v>
      </c>
      <c r="E42" s="3" t="s">
        <v>1589</v>
      </c>
      <c r="F42" s="3" t="s">
        <v>1689</v>
      </c>
      <c r="G42" s="3" t="s">
        <v>1591</v>
      </c>
      <c r="H42" s="3" t="s">
        <v>1592</v>
      </c>
      <c r="I42" s="3" t="s">
        <v>1635</v>
      </c>
      <c r="J42" s="4">
        <v>0</v>
      </c>
      <c r="K42" s="4">
        <v>0</v>
      </c>
      <c r="L42" s="4">
        <v>0</v>
      </c>
      <c r="M42" s="4">
        <v>0</v>
      </c>
      <c r="N42" s="5">
        <v>0</v>
      </c>
      <c r="O42" s="5">
        <v>0</v>
      </c>
      <c r="P42" s="5">
        <v>0</v>
      </c>
      <c r="Q42" s="5">
        <v>0</v>
      </c>
      <c r="R42" s="5">
        <v>12735</v>
      </c>
      <c r="S42" s="5">
        <v>0</v>
      </c>
      <c r="T42" s="5">
        <f t="shared" si="0"/>
        <v>12735</v>
      </c>
      <c r="U42" s="5">
        <f t="shared" si="4"/>
        <v>0</v>
      </c>
      <c r="V42" s="5">
        <v>0</v>
      </c>
      <c r="W42" s="5">
        <v>0</v>
      </c>
      <c r="X42" s="5">
        <v>0</v>
      </c>
      <c r="Y42" s="5">
        <v>12735</v>
      </c>
      <c r="Z42" s="5">
        <f t="shared" si="1"/>
        <v>12735</v>
      </c>
      <c r="AA42" s="20">
        <f t="shared" si="2"/>
        <v>0</v>
      </c>
    </row>
    <row r="43" spans="1:27" ht="12.75">
      <c r="A43" s="3" t="s">
        <v>1680</v>
      </c>
      <c r="B43" s="3" t="s">
        <v>1669</v>
      </c>
      <c r="C43" s="3" t="s">
        <v>1670</v>
      </c>
      <c r="D43" s="3" t="s">
        <v>1690</v>
      </c>
      <c r="E43" s="3" t="s">
        <v>1589</v>
      </c>
      <c r="F43" s="3" t="s">
        <v>1692</v>
      </c>
      <c r="G43" s="3" t="s">
        <v>1591</v>
      </c>
      <c r="H43" s="3" t="s">
        <v>1592</v>
      </c>
      <c r="I43" s="3" t="s">
        <v>1636</v>
      </c>
      <c r="J43" s="4">
        <v>0</v>
      </c>
      <c r="K43" s="4">
        <v>0</v>
      </c>
      <c r="L43" s="4">
        <v>0</v>
      </c>
      <c r="M43" s="4">
        <v>0</v>
      </c>
      <c r="N43" s="5">
        <v>0</v>
      </c>
      <c r="O43" s="5">
        <v>0</v>
      </c>
      <c r="P43" s="5">
        <v>0</v>
      </c>
      <c r="Q43" s="5">
        <v>0</v>
      </c>
      <c r="R43" s="5">
        <v>32090</v>
      </c>
      <c r="S43" s="5">
        <v>0</v>
      </c>
      <c r="T43" s="5">
        <f t="shared" si="0"/>
        <v>32090</v>
      </c>
      <c r="U43" s="5">
        <f t="shared" si="4"/>
        <v>0</v>
      </c>
      <c r="V43" s="5">
        <v>0</v>
      </c>
      <c r="W43" s="5">
        <v>0</v>
      </c>
      <c r="X43" s="5">
        <v>0</v>
      </c>
      <c r="Y43" s="5">
        <v>32090</v>
      </c>
      <c r="Z43" s="5">
        <f t="shared" si="1"/>
        <v>32090</v>
      </c>
      <c r="AA43" s="20">
        <f t="shared" si="2"/>
        <v>0</v>
      </c>
    </row>
    <row r="44" spans="1:27" ht="12.75">
      <c r="A44" s="3" t="s">
        <v>1680</v>
      </c>
      <c r="B44" s="3" t="s">
        <v>1669</v>
      </c>
      <c r="C44" s="3" t="s">
        <v>1670</v>
      </c>
      <c r="D44" s="3" t="s">
        <v>1693</v>
      </c>
      <c r="E44" s="3" t="s">
        <v>1589</v>
      </c>
      <c r="F44" s="3" t="s">
        <v>1695</v>
      </c>
      <c r="G44" s="3" t="s">
        <v>1591</v>
      </c>
      <c r="H44" s="3" t="s">
        <v>1592</v>
      </c>
      <c r="I44" s="3" t="s">
        <v>1637</v>
      </c>
      <c r="J44" s="4">
        <v>0</v>
      </c>
      <c r="K44" s="4">
        <v>0</v>
      </c>
      <c r="L44" s="4">
        <v>0</v>
      </c>
      <c r="M44" s="4">
        <v>0</v>
      </c>
      <c r="N44" s="5">
        <v>0</v>
      </c>
      <c r="O44" s="5">
        <v>0</v>
      </c>
      <c r="P44" s="5">
        <v>0</v>
      </c>
      <c r="Q44" s="5">
        <v>0</v>
      </c>
      <c r="R44" s="5">
        <v>6968</v>
      </c>
      <c r="S44" s="5">
        <v>0</v>
      </c>
      <c r="T44" s="5">
        <f t="shared" si="0"/>
        <v>6968</v>
      </c>
      <c r="U44" s="5">
        <f t="shared" si="4"/>
        <v>0</v>
      </c>
      <c r="V44" s="5">
        <v>0</v>
      </c>
      <c r="W44" s="5">
        <v>0</v>
      </c>
      <c r="X44" s="5">
        <v>0</v>
      </c>
      <c r="Y44" s="5">
        <v>6968</v>
      </c>
      <c r="Z44" s="5">
        <f t="shared" si="1"/>
        <v>6968</v>
      </c>
      <c r="AA44" s="20">
        <f t="shared" si="2"/>
        <v>0</v>
      </c>
    </row>
    <row r="45" spans="1:27" ht="12.75">
      <c r="A45" s="3" t="s">
        <v>1680</v>
      </c>
      <c r="B45" s="3" t="s">
        <v>1669</v>
      </c>
      <c r="C45" s="3" t="s">
        <v>1670</v>
      </c>
      <c r="D45" s="3" t="s">
        <v>1696</v>
      </c>
      <c r="E45" s="3" t="s">
        <v>1589</v>
      </c>
      <c r="F45" s="3" t="s">
        <v>1698</v>
      </c>
      <c r="G45" s="3" t="s">
        <v>1591</v>
      </c>
      <c r="H45" s="3" t="s">
        <v>1592</v>
      </c>
      <c r="I45" s="3" t="s">
        <v>1638</v>
      </c>
      <c r="J45" s="4">
        <v>0</v>
      </c>
      <c r="K45" s="4">
        <v>0</v>
      </c>
      <c r="L45" s="4">
        <v>0</v>
      </c>
      <c r="M45" s="4">
        <v>0</v>
      </c>
      <c r="N45" s="5">
        <v>0</v>
      </c>
      <c r="O45" s="5">
        <v>0</v>
      </c>
      <c r="P45" s="5">
        <v>0</v>
      </c>
      <c r="Q45" s="5">
        <v>0</v>
      </c>
      <c r="R45" s="5">
        <v>27438</v>
      </c>
      <c r="S45" s="5">
        <v>0</v>
      </c>
      <c r="T45" s="5">
        <f t="shared" si="0"/>
        <v>27438</v>
      </c>
      <c r="U45" s="5">
        <f t="shared" si="4"/>
        <v>0</v>
      </c>
      <c r="V45" s="5">
        <v>0</v>
      </c>
      <c r="W45" s="5">
        <v>0</v>
      </c>
      <c r="X45" s="5">
        <v>0</v>
      </c>
      <c r="Y45" s="5">
        <v>27438</v>
      </c>
      <c r="Z45" s="5">
        <f t="shared" si="1"/>
        <v>27438</v>
      </c>
      <c r="AA45" s="20">
        <f t="shared" si="2"/>
        <v>0</v>
      </c>
    </row>
    <row r="46" spans="10:27" ht="12.75">
      <c r="J46" s="4"/>
      <c r="K46" s="4"/>
      <c r="L46" s="4"/>
      <c r="M46" s="4"/>
      <c r="N46" s="5"/>
      <c r="O46" s="5"/>
      <c r="P46" s="5"/>
      <c r="Q46" s="5"/>
      <c r="R46" s="5"/>
      <c r="S46" s="5"/>
      <c r="T46" s="5" t="s">
        <v>2540</v>
      </c>
      <c r="U46" s="5"/>
      <c r="V46" s="5"/>
      <c r="W46" s="5"/>
      <c r="X46" s="5"/>
      <c r="Y46" s="5"/>
      <c r="Z46" s="5" t="s">
        <v>2540</v>
      </c>
      <c r="AA46" s="20" t="s">
        <v>2540</v>
      </c>
    </row>
    <row r="47" spans="9:27" ht="12.75">
      <c r="I47" s="3" t="s">
        <v>127</v>
      </c>
      <c r="J47" s="4"/>
      <c r="K47" s="4"/>
      <c r="L47" s="4"/>
      <c r="M47" s="4"/>
      <c r="N47" s="5"/>
      <c r="O47" s="5"/>
      <c r="P47" s="5"/>
      <c r="Q47" s="5"/>
      <c r="R47" s="5"/>
      <c r="S47" s="5"/>
      <c r="T47" s="5" t="s">
        <v>2540</v>
      </c>
      <c r="U47" s="5"/>
      <c r="V47" s="5"/>
      <c r="W47" s="5"/>
      <c r="X47" s="5"/>
      <c r="Y47" s="5"/>
      <c r="Z47" s="5" t="s">
        <v>2540</v>
      </c>
      <c r="AA47" s="20" t="s">
        <v>2540</v>
      </c>
    </row>
    <row r="48" spans="10:27" ht="12.75">
      <c r="J48" s="4"/>
      <c r="K48" s="4"/>
      <c r="L48" s="4"/>
      <c r="M48" s="4"/>
      <c r="N48" s="5"/>
      <c r="O48" s="5"/>
      <c r="P48" s="5"/>
      <c r="Q48" s="5"/>
      <c r="R48" s="5"/>
      <c r="S48" s="5"/>
      <c r="T48" s="5" t="s">
        <v>2540</v>
      </c>
      <c r="U48" s="5"/>
      <c r="V48" s="5"/>
      <c r="W48" s="5"/>
      <c r="X48" s="5"/>
      <c r="Y48" s="5"/>
      <c r="Z48" s="5" t="s">
        <v>2540</v>
      </c>
      <c r="AA48" s="20" t="s">
        <v>2540</v>
      </c>
    </row>
    <row r="49" spans="1:27" ht="12.75">
      <c r="A49" s="3" t="s">
        <v>1699</v>
      </c>
      <c r="B49" s="3" t="s">
        <v>1669</v>
      </c>
      <c r="C49" s="3" t="s">
        <v>1670</v>
      </c>
      <c r="D49" s="3" t="s">
        <v>1700</v>
      </c>
      <c r="E49" s="3" t="s">
        <v>1589</v>
      </c>
      <c r="F49" s="3" t="s">
        <v>1702</v>
      </c>
      <c r="G49" s="3" t="s">
        <v>1591</v>
      </c>
      <c r="H49" s="3" t="s">
        <v>1592</v>
      </c>
      <c r="I49" s="3" t="s">
        <v>1701</v>
      </c>
      <c r="J49" s="4">
        <v>0</v>
      </c>
      <c r="K49" s="4">
        <v>0.333</v>
      </c>
      <c r="L49" s="4">
        <v>0.25</v>
      </c>
      <c r="M49" s="4">
        <v>0</v>
      </c>
      <c r="N49" s="5">
        <v>28768</v>
      </c>
      <c r="O49" s="5">
        <v>0</v>
      </c>
      <c r="P49" s="5">
        <v>930</v>
      </c>
      <c r="Q49" s="5">
        <v>0</v>
      </c>
      <c r="R49" s="5">
        <v>0</v>
      </c>
      <c r="S49" s="5">
        <v>0</v>
      </c>
      <c r="T49" s="5">
        <f t="shared" si="0"/>
        <v>29698</v>
      </c>
      <c r="U49" s="5">
        <f>SUM(S49:S49)</f>
        <v>0</v>
      </c>
      <c r="V49" s="5">
        <v>0</v>
      </c>
      <c r="W49" s="5">
        <v>0</v>
      </c>
      <c r="X49" s="5">
        <v>0</v>
      </c>
      <c r="Y49" s="5">
        <v>29698</v>
      </c>
      <c r="Z49" s="5">
        <f t="shared" si="1"/>
        <v>29698</v>
      </c>
      <c r="AA49" s="20">
        <f t="shared" si="2"/>
        <v>0</v>
      </c>
    </row>
    <row r="50" spans="1:27" ht="12.75">
      <c r="A50" s="3" t="s">
        <v>1699</v>
      </c>
      <c r="B50" s="3" t="s">
        <v>1669</v>
      </c>
      <c r="C50" s="3" t="s">
        <v>1670</v>
      </c>
      <c r="D50" s="3" t="s">
        <v>1703</v>
      </c>
      <c r="E50" s="3" t="s">
        <v>1589</v>
      </c>
      <c r="F50" s="3" t="s">
        <v>1705</v>
      </c>
      <c r="G50" s="3" t="s">
        <v>1591</v>
      </c>
      <c r="H50" s="3" t="s">
        <v>1592</v>
      </c>
      <c r="I50" s="3" t="s">
        <v>2345</v>
      </c>
      <c r="J50" s="4">
        <v>0</v>
      </c>
      <c r="K50" s="4">
        <v>0</v>
      </c>
      <c r="L50" s="4">
        <v>0</v>
      </c>
      <c r="M50" s="4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f t="shared" si="0"/>
        <v>0</v>
      </c>
      <c r="U50" s="5">
        <v>100000</v>
      </c>
      <c r="V50" s="5">
        <v>0</v>
      </c>
      <c r="W50" s="5">
        <v>0</v>
      </c>
      <c r="X50" s="5">
        <v>0</v>
      </c>
      <c r="Y50" s="5">
        <v>100000</v>
      </c>
      <c r="Z50" s="5">
        <f t="shared" si="1"/>
        <v>100000</v>
      </c>
      <c r="AA50" s="20">
        <f t="shared" si="2"/>
        <v>0</v>
      </c>
    </row>
    <row r="51" spans="1:27" ht="12.75">
      <c r="A51" s="3" t="s">
        <v>1699</v>
      </c>
      <c r="B51" s="3" t="s">
        <v>1669</v>
      </c>
      <c r="C51" s="3" t="s">
        <v>1670</v>
      </c>
      <c r="D51" s="3" t="s">
        <v>1706</v>
      </c>
      <c r="E51" s="3" t="s">
        <v>1589</v>
      </c>
      <c r="F51" s="3" t="s">
        <v>1708</v>
      </c>
      <c r="G51" s="3" t="s">
        <v>1591</v>
      </c>
      <c r="H51" s="3" t="s">
        <v>1592</v>
      </c>
      <c r="I51" s="3" t="s">
        <v>2346</v>
      </c>
      <c r="J51" s="4">
        <v>0</v>
      </c>
      <c r="K51" s="4">
        <v>0</v>
      </c>
      <c r="L51" s="4">
        <v>0</v>
      </c>
      <c r="M51" s="4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f t="shared" si="0"/>
        <v>0</v>
      </c>
      <c r="U51" s="5">
        <v>39150</v>
      </c>
      <c r="V51" s="5">
        <v>0</v>
      </c>
      <c r="W51" s="5">
        <v>0</v>
      </c>
      <c r="X51" s="5">
        <v>0</v>
      </c>
      <c r="Y51" s="5">
        <v>39150</v>
      </c>
      <c r="Z51" s="5">
        <f t="shared" si="1"/>
        <v>39150</v>
      </c>
      <c r="AA51" s="20">
        <f t="shared" si="2"/>
        <v>0</v>
      </c>
    </row>
    <row r="52" spans="1:27" ht="12.75">
      <c r="A52" s="3" t="s">
        <v>1699</v>
      </c>
      <c r="B52" s="3" t="s">
        <v>1669</v>
      </c>
      <c r="C52" s="3" t="s">
        <v>1670</v>
      </c>
      <c r="D52" s="3" t="s">
        <v>1709</v>
      </c>
      <c r="E52" s="3" t="s">
        <v>1589</v>
      </c>
      <c r="F52" s="3" t="s">
        <v>1711</v>
      </c>
      <c r="G52" s="3" t="s">
        <v>1591</v>
      </c>
      <c r="H52" s="3" t="s">
        <v>1592</v>
      </c>
      <c r="I52" s="3" t="s">
        <v>1710</v>
      </c>
      <c r="J52" s="4">
        <v>0</v>
      </c>
      <c r="K52" s="4">
        <v>0</v>
      </c>
      <c r="L52" s="4">
        <v>0</v>
      </c>
      <c r="M52" s="4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f t="shared" si="0"/>
        <v>0</v>
      </c>
      <c r="U52" s="5">
        <v>10000</v>
      </c>
      <c r="V52" s="5">
        <v>0</v>
      </c>
      <c r="W52" s="5">
        <v>0</v>
      </c>
      <c r="X52" s="5">
        <v>0</v>
      </c>
      <c r="Y52" s="5">
        <v>10000</v>
      </c>
      <c r="Z52" s="5">
        <f t="shared" si="1"/>
        <v>10000</v>
      </c>
      <c r="AA52" s="20">
        <f t="shared" si="2"/>
        <v>0</v>
      </c>
    </row>
    <row r="53" spans="1:27" ht="13.5" thickBot="1">
      <c r="A53" s="3" t="s">
        <v>1699</v>
      </c>
      <c r="B53" s="3" t="s">
        <v>1669</v>
      </c>
      <c r="C53" s="3" t="s">
        <v>1670</v>
      </c>
      <c r="D53" s="3" t="s">
        <v>1712</v>
      </c>
      <c r="E53" s="21" t="s">
        <v>1589</v>
      </c>
      <c r="F53" s="21" t="s">
        <v>1714</v>
      </c>
      <c r="G53" s="21" t="s">
        <v>1591</v>
      </c>
      <c r="H53" s="21" t="s">
        <v>1592</v>
      </c>
      <c r="I53" s="3" t="s">
        <v>1713</v>
      </c>
      <c r="J53" s="6">
        <v>0</v>
      </c>
      <c r="K53" s="6">
        <v>0</v>
      </c>
      <c r="L53" s="6">
        <v>0</v>
      </c>
      <c r="M53" s="6">
        <v>0</v>
      </c>
      <c r="N53" s="7">
        <v>0</v>
      </c>
      <c r="O53" s="7">
        <v>0</v>
      </c>
      <c r="P53" s="7">
        <v>44395</v>
      </c>
      <c r="Q53" s="7">
        <v>0</v>
      </c>
      <c r="R53" s="7">
        <v>0</v>
      </c>
      <c r="S53" s="7">
        <v>0</v>
      </c>
      <c r="T53" s="7">
        <f t="shared" si="0"/>
        <v>44395</v>
      </c>
      <c r="U53" s="7">
        <f>SUM(S53:S53)</f>
        <v>0</v>
      </c>
      <c r="V53" s="7">
        <v>0</v>
      </c>
      <c r="W53" s="7">
        <v>0</v>
      </c>
      <c r="X53" s="7">
        <v>0</v>
      </c>
      <c r="Y53" s="7">
        <v>44395</v>
      </c>
      <c r="Z53" s="7">
        <f t="shared" si="1"/>
        <v>44395</v>
      </c>
      <c r="AA53" s="20">
        <f t="shared" si="2"/>
        <v>0</v>
      </c>
    </row>
    <row r="54" spans="9:27" ht="12.75">
      <c r="I54" s="3" t="s">
        <v>2541</v>
      </c>
      <c r="J54" s="4">
        <f aca="true" t="shared" si="5" ref="J54:Y54">SUM(J49:J53)</f>
        <v>0</v>
      </c>
      <c r="K54" s="4">
        <f t="shared" si="5"/>
        <v>0.333</v>
      </c>
      <c r="L54" s="4">
        <f t="shared" si="5"/>
        <v>0.25</v>
      </c>
      <c r="M54" s="4">
        <f t="shared" si="5"/>
        <v>0</v>
      </c>
      <c r="N54" s="5">
        <f t="shared" si="5"/>
        <v>28768</v>
      </c>
      <c r="O54" s="5">
        <f t="shared" si="5"/>
        <v>0</v>
      </c>
      <c r="P54" s="5">
        <f t="shared" si="5"/>
        <v>45325</v>
      </c>
      <c r="Q54" s="5">
        <f t="shared" si="5"/>
        <v>0</v>
      </c>
      <c r="R54" s="5">
        <f t="shared" si="5"/>
        <v>0</v>
      </c>
      <c r="S54" s="5">
        <f t="shared" si="5"/>
        <v>0</v>
      </c>
      <c r="T54" s="5">
        <f t="shared" si="5"/>
        <v>74093</v>
      </c>
      <c r="U54" s="5">
        <f t="shared" si="5"/>
        <v>149150</v>
      </c>
      <c r="V54" s="5">
        <f t="shared" si="5"/>
        <v>0</v>
      </c>
      <c r="W54" s="5">
        <f t="shared" si="5"/>
        <v>0</v>
      </c>
      <c r="X54" s="5">
        <f t="shared" si="5"/>
        <v>0</v>
      </c>
      <c r="Y54" s="5">
        <f t="shared" si="5"/>
        <v>223243</v>
      </c>
      <c r="Z54" s="5">
        <f t="shared" si="1"/>
        <v>223243</v>
      </c>
      <c r="AA54" s="20">
        <f t="shared" si="2"/>
        <v>0</v>
      </c>
    </row>
    <row r="55" spans="10:27" ht="12.75">
      <c r="J55" s="4"/>
      <c r="K55" s="4"/>
      <c r="L55" s="4"/>
      <c r="M55" s="4"/>
      <c r="N55" s="5"/>
      <c r="O55" s="5"/>
      <c r="P55" s="5"/>
      <c r="Q55" s="5"/>
      <c r="R55" s="5"/>
      <c r="S55" s="5"/>
      <c r="T55" s="5" t="s">
        <v>2540</v>
      </c>
      <c r="U55" s="5"/>
      <c r="V55" s="5"/>
      <c r="W55" s="5"/>
      <c r="X55" s="5"/>
      <c r="Y55" s="5"/>
      <c r="Z55" s="5" t="s">
        <v>2540</v>
      </c>
      <c r="AA55" s="20" t="s">
        <v>2540</v>
      </c>
    </row>
    <row r="56" spans="1:27" ht="12.75">
      <c r="A56" s="3" t="s">
        <v>1699</v>
      </c>
      <c r="B56" s="3" t="s">
        <v>1669</v>
      </c>
      <c r="C56" s="3" t="s">
        <v>1670</v>
      </c>
      <c r="D56" s="3" t="s">
        <v>1715</v>
      </c>
      <c r="E56" s="21" t="s">
        <v>1589</v>
      </c>
      <c r="F56" s="21" t="s">
        <v>1717</v>
      </c>
      <c r="G56" s="3" t="s">
        <v>1591</v>
      </c>
      <c r="H56" s="3" t="s">
        <v>1592</v>
      </c>
      <c r="I56" s="3" t="s">
        <v>1716</v>
      </c>
      <c r="J56" s="4">
        <v>0</v>
      </c>
      <c r="K56" s="4">
        <v>3.9990000000000006</v>
      </c>
      <c r="L56" s="4">
        <v>0.666</v>
      </c>
      <c r="M56" s="4">
        <v>0</v>
      </c>
      <c r="N56" s="5">
        <v>238671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f t="shared" si="0"/>
        <v>238671</v>
      </c>
      <c r="U56" s="5">
        <f>SUM(S56:S56)</f>
        <v>0</v>
      </c>
      <c r="V56" s="5">
        <v>0</v>
      </c>
      <c r="W56" s="5">
        <v>0</v>
      </c>
      <c r="X56" s="5">
        <v>0</v>
      </c>
      <c r="Y56" s="5">
        <v>238671</v>
      </c>
      <c r="Z56" s="5">
        <f t="shared" si="1"/>
        <v>238671</v>
      </c>
      <c r="AA56" s="20">
        <f t="shared" si="2"/>
        <v>0</v>
      </c>
    </row>
    <row r="57" spans="1:27" ht="13.5" thickBot="1">
      <c r="A57" s="3" t="s">
        <v>1699</v>
      </c>
      <c r="B57" s="3" t="s">
        <v>1669</v>
      </c>
      <c r="C57" s="3" t="s">
        <v>1670</v>
      </c>
      <c r="D57" s="21" t="s">
        <v>1718</v>
      </c>
      <c r="E57" s="21" t="s">
        <v>1589</v>
      </c>
      <c r="F57" s="21" t="s">
        <v>1719</v>
      </c>
      <c r="G57" s="21" t="s">
        <v>1591</v>
      </c>
      <c r="H57" s="21" t="s">
        <v>1592</v>
      </c>
      <c r="I57" s="21" t="s">
        <v>1716</v>
      </c>
      <c r="J57" s="6">
        <v>0</v>
      </c>
      <c r="K57" s="6">
        <v>0</v>
      </c>
      <c r="L57" s="6">
        <v>0</v>
      </c>
      <c r="M57" s="6">
        <v>0</v>
      </c>
      <c r="N57" s="7">
        <v>0</v>
      </c>
      <c r="O57" s="7">
        <v>0</v>
      </c>
      <c r="P57" s="7">
        <v>0</v>
      </c>
      <c r="Q57" s="7">
        <v>17334</v>
      </c>
      <c r="R57" s="7">
        <v>0</v>
      </c>
      <c r="S57" s="7">
        <v>0</v>
      </c>
      <c r="T57" s="7">
        <f t="shared" si="0"/>
        <v>17334</v>
      </c>
      <c r="U57" s="7">
        <v>13320</v>
      </c>
      <c r="V57" s="7">
        <v>0</v>
      </c>
      <c r="W57" s="7">
        <v>0</v>
      </c>
      <c r="X57" s="7">
        <v>0</v>
      </c>
      <c r="Y57" s="7">
        <v>30654</v>
      </c>
      <c r="Z57" s="7">
        <f t="shared" si="1"/>
        <v>30654</v>
      </c>
      <c r="AA57" s="20">
        <f t="shared" si="2"/>
        <v>0</v>
      </c>
    </row>
    <row r="58" spans="9:27" ht="12.75">
      <c r="I58" s="3" t="s">
        <v>130</v>
      </c>
      <c r="J58" s="4">
        <f aca="true" t="shared" si="6" ref="J58:Y58">SUM(J56:J57)</f>
        <v>0</v>
      </c>
      <c r="K58" s="4">
        <f t="shared" si="6"/>
        <v>3.9990000000000006</v>
      </c>
      <c r="L58" s="4">
        <f t="shared" si="6"/>
        <v>0.666</v>
      </c>
      <c r="M58" s="4">
        <f t="shared" si="6"/>
        <v>0</v>
      </c>
      <c r="N58" s="5">
        <f t="shared" si="6"/>
        <v>238671</v>
      </c>
      <c r="O58" s="5">
        <f t="shared" si="6"/>
        <v>0</v>
      </c>
      <c r="P58" s="5">
        <f t="shared" si="6"/>
        <v>0</v>
      </c>
      <c r="Q58" s="5">
        <f t="shared" si="6"/>
        <v>17334</v>
      </c>
      <c r="R58" s="5">
        <f t="shared" si="6"/>
        <v>0</v>
      </c>
      <c r="S58" s="5">
        <f t="shared" si="6"/>
        <v>0</v>
      </c>
      <c r="T58" s="5">
        <f t="shared" si="6"/>
        <v>256005</v>
      </c>
      <c r="U58" s="5">
        <f t="shared" si="6"/>
        <v>13320</v>
      </c>
      <c r="V58" s="5">
        <f t="shared" si="6"/>
        <v>0</v>
      </c>
      <c r="W58" s="5">
        <f t="shared" si="6"/>
        <v>0</v>
      </c>
      <c r="X58" s="5">
        <f t="shared" si="6"/>
        <v>0</v>
      </c>
      <c r="Y58" s="5">
        <f t="shared" si="6"/>
        <v>269325</v>
      </c>
      <c r="Z58" s="5">
        <f t="shared" si="1"/>
        <v>269325</v>
      </c>
      <c r="AA58" s="20">
        <f t="shared" si="2"/>
        <v>0</v>
      </c>
    </row>
    <row r="59" spans="10:27" ht="12.75">
      <c r="J59" s="4"/>
      <c r="K59" s="4"/>
      <c r="L59" s="4"/>
      <c r="M59" s="4"/>
      <c r="N59" s="5"/>
      <c r="O59" s="5"/>
      <c r="P59" s="5"/>
      <c r="Q59" s="5"/>
      <c r="R59" s="5"/>
      <c r="S59" s="5"/>
      <c r="T59" s="5" t="s">
        <v>2540</v>
      </c>
      <c r="U59" s="5"/>
      <c r="V59" s="5"/>
      <c r="W59" s="5"/>
      <c r="X59" s="5"/>
      <c r="Y59" s="5"/>
      <c r="Z59" s="5" t="s">
        <v>2540</v>
      </c>
      <c r="AA59" s="20" t="s">
        <v>2540</v>
      </c>
    </row>
    <row r="60" spans="1:27" ht="12.75">
      <c r="A60" s="3" t="s">
        <v>1699</v>
      </c>
      <c r="B60" s="3" t="s">
        <v>1669</v>
      </c>
      <c r="C60" s="3" t="s">
        <v>1670</v>
      </c>
      <c r="D60" s="3" t="s">
        <v>1720</v>
      </c>
      <c r="E60" s="3" t="s">
        <v>1589</v>
      </c>
      <c r="F60" s="3" t="s">
        <v>1722</v>
      </c>
      <c r="G60" s="3" t="s">
        <v>1591</v>
      </c>
      <c r="H60" s="3" t="s">
        <v>1592</v>
      </c>
      <c r="I60" s="3" t="s">
        <v>1721</v>
      </c>
      <c r="J60" s="4">
        <v>0</v>
      </c>
      <c r="K60" s="4">
        <v>5.332</v>
      </c>
      <c r="L60" s="4">
        <v>5.166</v>
      </c>
      <c r="M60" s="4">
        <v>0</v>
      </c>
      <c r="N60" s="5">
        <v>422165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f t="shared" si="0"/>
        <v>422165</v>
      </c>
      <c r="U60" s="5">
        <f>SUM(S60:S60)</f>
        <v>0</v>
      </c>
      <c r="V60" s="5">
        <v>0</v>
      </c>
      <c r="W60" s="5">
        <v>0</v>
      </c>
      <c r="X60" s="5">
        <v>0</v>
      </c>
      <c r="Y60" s="5">
        <v>422165</v>
      </c>
      <c r="Z60" s="5">
        <f t="shared" si="1"/>
        <v>422165</v>
      </c>
      <c r="AA60" s="20">
        <f t="shared" si="2"/>
        <v>0</v>
      </c>
    </row>
    <row r="61" spans="1:27" ht="13.5" thickBot="1">
      <c r="A61" s="3" t="s">
        <v>1699</v>
      </c>
      <c r="B61" s="3" t="s">
        <v>1669</v>
      </c>
      <c r="C61" s="3" t="s">
        <v>1670</v>
      </c>
      <c r="D61" s="3" t="s">
        <v>1723</v>
      </c>
      <c r="E61" s="21" t="s">
        <v>1589</v>
      </c>
      <c r="F61" s="21" t="s">
        <v>1724</v>
      </c>
      <c r="G61" s="21" t="s">
        <v>1591</v>
      </c>
      <c r="H61" s="21" t="s">
        <v>1592</v>
      </c>
      <c r="I61" s="3" t="s">
        <v>1721</v>
      </c>
      <c r="J61" s="6">
        <v>0</v>
      </c>
      <c r="K61" s="6">
        <v>0</v>
      </c>
      <c r="L61" s="6">
        <v>0</v>
      </c>
      <c r="M61" s="6">
        <v>0</v>
      </c>
      <c r="N61" s="7">
        <v>0</v>
      </c>
      <c r="O61" s="7">
        <v>0</v>
      </c>
      <c r="P61" s="7">
        <v>0</v>
      </c>
      <c r="Q61" s="7">
        <v>17334</v>
      </c>
      <c r="R61" s="7">
        <v>0</v>
      </c>
      <c r="S61" s="7">
        <v>0</v>
      </c>
      <c r="T61" s="7">
        <f t="shared" si="0"/>
        <v>17334</v>
      </c>
      <c r="U61" s="7">
        <v>24763</v>
      </c>
      <c r="V61" s="7">
        <v>0</v>
      </c>
      <c r="W61" s="7">
        <v>0</v>
      </c>
      <c r="X61" s="7">
        <v>0</v>
      </c>
      <c r="Y61" s="7">
        <v>42097</v>
      </c>
      <c r="Z61" s="7">
        <f t="shared" si="1"/>
        <v>42097</v>
      </c>
      <c r="AA61" s="20">
        <f t="shared" si="2"/>
        <v>0</v>
      </c>
    </row>
    <row r="62" spans="9:27" ht="12.75">
      <c r="I62" s="3" t="s">
        <v>131</v>
      </c>
      <c r="J62" s="4">
        <f aca="true" t="shared" si="7" ref="J62:Y62">SUM(J60:J61)</f>
        <v>0</v>
      </c>
      <c r="K62" s="4">
        <f t="shared" si="7"/>
        <v>5.332</v>
      </c>
      <c r="L62" s="4">
        <f t="shared" si="7"/>
        <v>5.166</v>
      </c>
      <c r="M62" s="4">
        <f t="shared" si="7"/>
        <v>0</v>
      </c>
      <c r="N62" s="5">
        <f t="shared" si="7"/>
        <v>422165</v>
      </c>
      <c r="O62" s="5">
        <f t="shared" si="7"/>
        <v>0</v>
      </c>
      <c r="P62" s="5">
        <f t="shared" si="7"/>
        <v>0</v>
      </c>
      <c r="Q62" s="5">
        <f t="shared" si="7"/>
        <v>17334</v>
      </c>
      <c r="R62" s="5">
        <f t="shared" si="7"/>
        <v>0</v>
      </c>
      <c r="S62" s="5">
        <f t="shared" si="7"/>
        <v>0</v>
      </c>
      <c r="T62" s="5">
        <f t="shared" si="7"/>
        <v>439499</v>
      </c>
      <c r="U62" s="5">
        <f t="shared" si="7"/>
        <v>24763</v>
      </c>
      <c r="V62" s="5">
        <f t="shared" si="7"/>
        <v>0</v>
      </c>
      <c r="W62" s="5">
        <f t="shared" si="7"/>
        <v>0</v>
      </c>
      <c r="X62" s="5">
        <f t="shared" si="7"/>
        <v>0</v>
      </c>
      <c r="Y62" s="5">
        <f t="shared" si="7"/>
        <v>464262</v>
      </c>
      <c r="Z62" s="5">
        <f t="shared" si="1"/>
        <v>464262</v>
      </c>
      <c r="AA62" s="20">
        <f t="shared" si="2"/>
        <v>0</v>
      </c>
    </row>
    <row r="63" spans="10:27" ht="12.75">
      <c r="J63" s="4"/>
      <c r="K63" s="4"/>
      <c r="L63" s="4"/>
      <c r="M63" s="4"/>
      <c r="N63" s="5"/>
      <c r="O63" s="5"/>
      <c r="P63" s="5"/>
      <c r="Q63" s="5"/>
      <c r="R63" s="5"/>
      <c r="S63" s="5"/>
      <c r="T63" s="5" t="s">
        <v>2540</v>
      </c>
      <c r="U63" s="5"/>
      <c r="V63" s="5"/>
      <c r="W63" s="5"/>
      <c r="X63" s="5"/>
      <c r="Y63" s="5"/>
      <c r="Z63" s="5" t="s">
        <v>2540</v>
      </c>
      <c r="AA63" s="20" t="s">
        <v>2540</v>
      </c>
    </row>
    <row r="64" spans="1:27" ht="12.75">
      <c r="A64" s="3" t="s">
        <v>1699</v>
      </c>
      <c r="B64" s="3" t="s">
        <v>1669</v>
      </c>
      <c r="C64" s="3" t="s">
        <v>1670</v>
      </c>
      <c r="D64" s="3" t="s">
        <v>1725</v>
      </c>
      <c r="E64" s="3" t="s">
        <v>1589</v>
      </c>
      <c r="F64" s="3" t="s">
        <v>1727</v>
      </c>
      <c r="G64" s="3" t="s">
        <v>1591</v>
      </c>
      <c r="H64" s="3" t="s">
        <v>1592</v>
      </c>
      <c r="I64" s="3" t="s">
        <v>1726</v>
      </c>
      <c r="J64" s="4">
        <v>0</v>
      </c>
      <c r="K64" s="4">
        <v>6.662000000000002</v>
      </c>
      <c r="L64" s="4">
        <v>1.918</v>
      </c>
      <c r="M64" s="4">
        <v>0</v>
      </c>
      <c r="N64" s="5">
        <v>408563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f t="shared" si="0"/>
        <v>408563</v>
      </c>
      <c r="U64" s="5">
        <f>SUM(S64:S64)</f>
        <v>0</v>
      </c>
      <c r="V64" s="5">
        <v>0</v>
      </c>
      <c r="W64" s="5">
        <v>0</v>
      </c>
      <c r="X64" s="5">
        <v>0</v>
      </c>
      <c r="Y64" s="5">
        <v>408563</v>
      </c>
      <c r="Z64" s="5">
        <f t="shared" si="1"/>
        <v>408563</v>
      </c>
      <c r="AA64" s="20">
        <f t="shared" si="2"/>
        <v>0</v>
      </c>
    </row>
    <row r="65" spans="1:27" ht="13.5" thickBot="1">
      <c r="A65" s="3" t="s">
        <v>1699</v>
      </c>
      <c r="B65" s="3" t="s">
        <v>1669</v>
      </c>
      <c r="C65" s="3" t="s">
        <v>1670</v>
      </c>
      <c r="D65" s="3" t="s">
        <v>1728</v>
      </c>
      <c r="E65" s="3" t="s">
        <v>1589</v>
      </c>
      <c r="F65" s="3" t="s">
        <v>1729</v>
      </c>
      <c r="G65" s="3" t="s">
        <v>1591</v>
      </c>
      <c r="H65" s="3" t="s">
        <v>1592</v>
      </c>
      <c r="I65" s="3" t="s">
        <v>1726</v>
      </c>
      <c r="J65" s="6">
        <v>0</v>
      </c>
      <c r="K65" s="6">
        <v>0</v>
      </c>
      <c r="L65" s="6">
        <v>0</v>
      </c>
      <c r="M65" s="6">
        <v>0</v>
      </c>
      <c r="N65" s="7">
        <v>0</v>
      </c>
      <c r="O65" s="7">
        <v>0</v>
      </c>
      <c r="P65" s="7">
        <v>0</v>
      </c>
      <c r="Q65" s="7">
        <v>34668</v>
      </c>
      <c r="R65" s="7">
        <v>0</v>
      </c>
      <c r="S65" s="7">
        <v>0</v>
      </c>
      <c r="T65" s="7">
        <f t="shared" si="0"/>
        <v>34668</v>
      </c>
      <c r="U65" s="7">
        <v>19691</v>
      </c>
      <c r="V65" s="7">
        <v>0</v>
      </c>
      <c r="W65" s="7">
        <v>0</v>
      </c>
      <c r="X65" s="7">
        <v>0</v>
      </c>
      <c r="Y65" s="7">
        <v>54359</v>
      </c>
      <c r="Z65" s="7">
        <f t="shared" si="1"/>
        <v>54359</v>
      </c>
      <c r="AA65" s="20">
        <f t="shared" si="2"/>
        <v>0</v>
      </c>
    </row>
    <row r="66" spans="5:27" ht="12.75">
      <c r="E66" s="21"/>
      <c r="F66" s="21"/>
      <c r="G66" s="21"/>
      <c r="H66" s="21"/>
      <c r="I66" s="3" t="s">
        <v>132</v>
      </c>
      <c r="J66" s="16">
        <f aca="true" t="shared" si="8" ref="J66:Y66">SUM(J64:J65)</f>
        <v>0</v>
      </c>
      <c r="K66" s="16">
        <f t="shared" si="8"/>
        <v>6.662000000000002</v>
      </c>
      <c r="L66" s="16">
        <f t="shared" si="8"/>
        <v>1.918</v>
      </c>
      <c r="M66" s="16">
        <f t="shared" si="8"/>
        <v>0</v>
      </c>
      <c r="N66" s="12">
        <f t="shared" si="8"/>
        <v>408563</v>
      </c>
      <c r="O66" s="12">
        <f t="shared" si="8"/>
        <v>0</v>
      </c>
      <c r="P66" s="12">
        <f t="shared" si="8"/>
        <v>0</v>
      </c>
      <c r="Q66" s="12">
        <f t="shared" si="8"/>
        <v>34668</v>
      </c>
      <c r="R66" s="12">
        <f t="shared" si="8"/>
        <v>0</v>
      </c>
      <c r="S66" s="12">
        <f t="shared" si="8"/>
        <v>0</v>
      </c>
      <c r="T66" s="12">
        <f t="shared" si="8"/>
        <v>443231</v>
      </c>
      <c r="U66" s="12">
        <f t="shared" si="8"/>
        <v>19691</v>
      </c>
      <c r="V66" s="12">
        <f t="shared" si="8"/>
        <v>0</v>
      </c>
      <c r="W66" s="12">
        <f t="shared" si="8"/>
        <v>0</v>
      </c>
      <c r="X66" s="12">
        <f t="shared" si="8"/>
        <v>0</v>
      </c>
      <c r="Y66" s="12">
        <f t="shared" si="8"/>
        <v>462922</v>
      </c>
      <c r="Z66" s="12">
        <f t="shared" si="1"/>
        <v>462922</v>
      </c>
      <c r="AA66" s="20">
        <f t="shared" si="2"/>
        <v>0</v>
      </c>
    </row>
    <row r="67" spans="10:27" ht="12.75">
      <c r="J67" s="4"/>
      <c r="K67" s="4"/>
      <c r="L67" s="4"/>
      <c r="M67" s="4"/>
      <c r="N67" s="5"/>
      <c r="O67" s="5"/>
      <c r="P67" s="5"/>
      <c r="Q67" s="5"/>
      <c r="R67" s="5"/>
      <c r="S67" s="5"/>
      <c r="T67" s="5" t="s">
        <v>2540</v>
      </c>
      <c r="U67" s="5"/>
      <c r="V67" s="5"/>
      <c r="W67" s="5"/>
      <c r="X67" s="5"/>
      <c r="Y67" s="5"/>
      <c r="Z67" s="5" t="s">
        <v>2540</v>
      </c>
      <c r="AA67" s="20" t="s">
        <v>2540</v>
      </c>
    </row>
    <row r="68" spans="1:27" ht="12.75">
      <c r="A68" s="3" t="s">
        <v>1699</v>
      </c>
      <c r="B68" s="3" t="s">
        <v>1669</v>
      </c>
      <c r="C68" s="3" t="s">
        <v>1670</v>
      </c>
      <c r="D68" s="3" t="s">
        <v>1730</v>
      </c>
      <c r="E68" s="3" t="s">
        <v>1589</v>
      </c>
      <c r="F68" s="3" t="s">
        <v>1732</v>
      </c>
      <c r="G68" s="3" t="s">
        <v>1591</v>
      </c>
      <c r="H68" s="3" t="s">
        <v>1592</v>
      </c>
      <c r="I68" s="3" t="s">
        <v>1731</v>
      </c>
      <c r="J68" s="4">
        <v>0</v>
      </c>
      <c r="K68" s="4">
        <v>6.083</v>
      </c>
      <c r="L68" s="4">
        <v>1.251</v>
      </c>
      <c r="M68" s="4">
        <v>1.865</v>
      </c>
      <c r="N68" s="5">
        <v>358442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f t="shared" si="0"/>
        <v>358442</v>
      </c>
      <c r="U68" s="5">
        <f>SUM(S68:S68)</f>
        <v>0</v>
      </c>
      <c r="V68" s="5">
        <v>0</v>
      </c>
      <c r="W68" s="5">
        <v>0</v>
      </c>
      <c r="X68" s="5">
        <v>0</v>
      </c>
      <c r="Y68" s="5">
        <v>358442</v>
      </c>
      <c r="Z68" s="5">
        <f t="shared" si="1"/>
        <v>358442</v>
      </c>
      <c r="AA68" s="20">
        <f t="shared" si="2"/>
        <v>0</v>
      </c>
    </row>
    <row r="69" spans="1:27" ht="13.5" thickBot="1">
      <c r="A69" s="3" t="s">
        <v>1699</v>
      </c>
      <c r="B69" s="3" t="s">
        <v>1669</v>
      </c>
      <c r="C69" s="3" t="s">
        <v>1670</v>
      </c>
      <c r="D69" s="3" t="s">
        <v>1733</v>
      </c>
      <c r="E69" s="21" t="s">
        <v>1589</v>
      </c>
      <c r="F69" s="21" t="s">
        <v>1734</v>
      </c>
      <c r="G69" s="21" t="s">
        <v>1591</v>
      </c>
      <c r="H69" s="21" t="s">
        <v>1592</v>
      </c>
      <c r="I69" s="3" t="s">
        <v>1731</v>
      </c>
      <c r="J69" s="6">
        <v>0</v>
      </c>
      <c r="K69" s="6">
        <v>0</v>
      </c>
      <c r="L69" s="6">
        <v>0</v>
      </c>
      <c r="M69" s="6">
        <v>0</v>
      </c>
      <c r="N69" s="7">
        <v>0</v>
      </c>
      <c r="O69" s="7">
        <v>0</v>
      </c>
      <c r="P69" s="7">
        <v>0</v>
      </c>
      <c r="Q69" s="7">
        <v>17334</v>
      </c>
      <c r="R69" s="7">
        <v>0</v>
      </c>
      <c r="S69" s="7">
        <v>0</v>
      </c>
      <c r="T69" s="7">
        <f t="shared" si="0"/>
        <v>17334</v>
      </c>
      <c r="U69" s="7">
        <v>25723</v>
      </c>
      <c r="V69" s="7">
        <v>0</v>
      </c>
      <c r="W69" s="7">
        <v>0</v>
      </c>
      <c r="X69" s="7">
        <v>0</v>
      </c>
      <c r="Y69" s="7">
        <v>43057</v>
      </c>
      <c r="Z69" s="7">
        <f t="shared" si="1"/>
        <v>43057</v>
      </c>
      <c r="AA69" s="20">
        <f t="shared" si="2"/>
        <v>0</v>
      </c>
    </row>
    <row r="70" spans="9:27" ht="12.75">
      <c r="I70" s="3" t="s">
        <v>133</v>
      </c>
      <c r="J70" s="4">
        <f aca="true" t="shared" si="9" ref="J70:Y70">SUM(J68:J69)</f>
        <v>0</v>
      </c>
      <c r="K70" s="4">
        <f t="shared" si="9"/>
        <v>6.083</v>
      </c>
      <c r="L70" s="4">
        <f t="shared" si="9"/>
        <v>1.251</v>
      </c>
      <c r="M70" s="4">
        <f t="shared" si="9"/>
        <v>1.865</v>
      </c>
      <c r="N70" s="5">
        <f t="shared" si="9"/>
        <v>358442</v>
      </c>
      <c r="O70" s="5">
        <f t="shared" si="9"/>
        <v>0</v>
      </c>
      <c r="P70" s="5">
        <f t="shared" si="9"/>
        <v>0</v>
      </c>
      <c r="Q70" s="5">
        <f t="shared" si="9"/>
        <v>17334</v>
      </c>
      <c r="R70" s="5">
        <f t="shared" si="9"/>
        <v>0</v>
      </c>
      <c r="S70" s="5">
        <f t="shared" si="9"/>
        <v>0</v>
      </c>
      <c r="T70" s="5">
        <f t="shared" si="9"/>
        <v>375776</v>
      </c>
      <c r="U70" s="5">
        <f t="shared" si="9"/>
        <v>25723</v>
      </c>
      <c r="V70" s="5">
        <f t="shared" si="9"/>
        <v>0</v>
      </c>
      <c r="W70" s="5">
        <f t="shared" si="9"/>
        <v>0</v>
      </c>
      <c r="X70" s="5">
        <f t="shared" si="9"/>
        <v>0</v>
      </c>
      <c r="Y70" s="5">
        <f t="shared" si="9"/>
        <v>401499</v>
      </c>
      <c r="Z70" s="5">
        <f t="shared" si="1"/>
        <v>401499</v>
      </c>
      <c r="AA70" s="20">
        <f t="shared" si="2"/>
        <v>0</v>
      </c>
    </row>
    <row r="71" spans="10:27" ht="12.75">
      <c r="J71" s="4"/>
      <c r="K71" s="4"/>
      <c r="L71" s="4"/>
      <c r="M71" s="4"/>
      <c r="N71" s="5"/>
      <c r="O71" s="5"/>
      <c r="P71" s="5"/>
      <c r="Q71" s="5"/>
      <c r="R71" s="5"/>
      <c r="S71" s="5"/>
      <c r="T71" s="5" t="s">
        <v>2540</v>
      </c>
      <c r="U71" s="5"/>
      <c r="V71" s="5"/>
      <c r="W71" s="5"/>
      <c r="X71" s="5"/>
      <c r="Y71" s="5"/>
      <c r="Z71" s="5" t="s">
        <v>2540</v>
      </c>
      <c r="AA71" s="20" t="s">
        <v>2540</v>
      </c>
    </row>
    <row r="72" spans="1:27" ht="12.75">
      <c r="A72" s="3" t="s">
        <v>1699</v>
      </c>
      <c r="B72" s="3" t="s">
        <v>1669</v>
      </c>
      <c r="C72" s="3" t="s">
        <v>1670</v>
      </c>
      <c r="D72" s="3" t="s">
        <v>1735</v>
      </c>
      <c r="E72" s="3" t="s">
        <v>1589</v>
      </c>
      <c r="F72" s="3" t="s">
        <v>1737</v>
      </c>
      <c r="G72" s="3" t="s">
        <v>1591</v>
      </c>
      <c r="H72" s="3" t="s">
        <v>1592</v>
      </c>
      <c r="I72" s="3" t="s">
        <v>1736</v>
      </c>
      <c r="J72" s="4">
        <v>0</v>
      </c>
      <c r="K72" s="4">
        <v>2</v>
      </c>
      <c r="L72" s="4">
        <v>0.5</v>
      </c>
      <c r="M72" s="4">
        <v>0</v>
      </c>
      <c r="N72" s="5">
        <v>158307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f t="shared" si="0"/>
        <v>158307</v>
      </c>
      <c r="U72" s="5">
        <f>SUM(S72:S72)</f>
        <v>0</v>
      </c>
      <c r="V72" s="5">
        <v>0</v>
      </c>
      <c r="W72" s="5">
        <v>0</v>
      </c>
      <c r="X72" s="5">
        <v>0</v>
      </c>
      <c r="Y72" s="5">
        <v>158307</v>
      </c>
      <c r="Z72" s="5">
        <f t="shared" si="1"/>
        <v>158307</v>
      </c>
      <c r="AA72" s="20">
        <f t="shared" si="2"/>
        <v>0</v>
      </c>
    </row>
    <row r="73" spans="1:27" ht="13.5" thickBot="1">
      <c r="A73" s="3" t="s">
        <v>1699</v>
      </c>
      <c r="B73" s="3" t="s">
        <v>1669</v>
      </c>
      <c r="C73" s="3" t="s">
        <v>1670</v>
      </c>
      <c r="D73" s="3" t="s">
        <v>1738</v>
      </c>
      <c r="E73" s="21" t="s">
        <v>1589</v>
      </c>
      <c r="F73" s="21" t="s">
        <v>1740</v>
      </c>
      <c r="G73" s="21" t="s">
        <v>1591</v>
      </c>
      <c r="H73" s="21" t="s">
        <v>1592</v>
      </c>
      <c r="I73" s="3" t="s">
        <v>2347</v>
      </c>
      <c r="J73" s="6">
        <v>0</v>
      </c>
      <c r="K73" s="6">
        <v>0</v>
      </c>
      <c r="L73" s="6">
        <v>0</v>
      </c>
      <c r="M73" s="6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f t="shared" si="0"/>
        <v>0</v>
      </c>
      <c r="U73" s="7">
        <v>5664</v>
      </c>
      <c r="V73" s="7">
        <v>0</v>
      </c>
      <c r="W73" s="7">
        <v>0</v>
      </c>
      <c r="X73" s="7">
        <v>0</v>
      </c>
      <c r="Y73" s="7">
        <v>5664</v>
      </c>
      <c r="Z73" s="7">
        <f t="shared" si="1"/>
        <v>5664</v>
      </c>
      <c r="AA73" s="20">
        <f t="shared" si="2"/>
        <v>0</v>
      </c>
    </row>
    <row r="74" spans="9:27" ht="12.75">
      <c r="I74" s="3" t="s">
        <v>134</v>
      </c>
      <c r="J74" s="4">
        <f aca="true" t="shared" si="10" ref="J74:Y74">SUM(J72:J73)</f>
        <v>0</v>
      </c>
      <c r="K74" s="4">
        <f t="shared" si="10"/>
        <v>2</v>
      </c>
      <c r="L74" s="4">
        <f t="shared" si="10"/>
        <v>0.5</v>
      </c>
      <c r="M74" s="4">
        <f t="shared" si="10"/>
        <v>0</v>
      </c>
      <c r="N74" s="5">
        <f t="shared" si="10"/>
        <v>158307</v>
      </c>
      <c r="O74" s="5">
        <f t="shared" si="10"/>
        <v>0</v>
      </c>
      <c r="P74" s="5">
        <f t="shared" si="10"/>
        <v>0</v>
      </c>
      <c r="Q74" s="5">
        <f t="shared" si="10"/>
        <v>0</v>
      </c>
      <c r="R74" s="5">
        <f t="shared" si="10"/>
        <v>0</v>
      </c>
      <c r="S74" s="5">
        <f t="shared" si="10"/>
        <v>0</v>
      </c>
      <c r="T74" s="5">
        <f t="shared" si="10"/>
        <v>158307</v>
      </c>
      <c r="U74" s="5">
        <v>5664</v>
      </c>
      <c r="V74" s="5">
        <f t="shared" si="10"/>
        <v>0</v>
      </c>
      <c r="W74" s="5">
        <f t="shared" si="10"/>
        <v>0</v>
      </c>
      <c r="X74" s="5">
        <f t="shared" si="10"/>
        <v>0</v>
      </c>
      <c r="Y74" s="5">
        <f t="shared" si="10"/>
        <v>163971</v>
      </c>
      <c r="Z74" s="5">
        <f aca="true" t="shared" si="11" ref="Z74:Z137">SUM(T74:X74)</f>
        <v>163971</v>
      </c>
      <c r="AA74" s="20">
        <f t="shared" si="2"/>
        <v>0</v>
      </c>
    </row>
    <row r="75" spans="10:27" ht="12.75">
      <c r="J75" s="4"/>
      <c r="K75" s="4"/>
      <c r="L75" s="4"/>
      <c r="M75" s="4"/>
      <c r="N75" s="5"/>
      <c r="O75" s="5"/>
      <c r="P75" s="5"/>
      <c r="Q75" s="5"/>
      <c r="R75" s="5"/>
      <c r="S75" s="5"/>
      <c r="T75" s="5" t="s">
        <v>2540</v>
      </c>
      <c r="U75" s="5"/>
      <c r="V75" s="5"/>
      <c r="W75" s="5"/>
      <c r="X75" s="5"/>
      <c r="Y75" s="5"/>
      <c r="Z75" s="5" t="s">
        <v>2540</v>
      </c>
      <c r="AA75" s="20" t="s">
        <v>2540</v>
      </c>
    </row>
    <row r="76" spans="1:27" ht="12.75">
      <c r="A76" s="3" t="s">
        <v>1699</v>
      </c>
      <c r="B76" s="3" t="s">
        <v>1669</v>
      </c>
      <c r="C76" s="3" t="s">
        <v>1670</v>
      </c>
      <c r="D76" s="3" t="s">
        <v>1741</v>
      </c>
      <c r="E76" s="3" t="s">
        <v>1589</v>
      </c>
      <c r="F76" s="3" t="s">
        <v>1743</v>
      </c>
      <c r="G76" s="3" t="s">
        <v>1591</v>
      </c>
      <c r="H76" s="3" t="s">
        <v>1592</v>
      </c>
      <c r="I76" s="3" t="s">
        <v>1742</v>
      </c>
      <c r="J76" s="4">
        <v>0.833</v>
      </c>
      <c r="K76" s="4">
        <v>1.5010000000000001</v>
      </c>
      <c r="L76" s="4">
        <v>2.167</v>
      </c>
      <c r="M76" s="4">
        <v>0.167</v>
      </c>
      <c r="N76" s="5">
        <v>219941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f aca="true" t="shared" si="12" ref="T76:T137">SUM(N76:R76)</f>
        <v>219941</v>
      </c>
      <c r="U76" s="5">
        <f>SUM(S76:S76)</f>
        <v>0</v>
      </c>
      <c r="V76" s="5">
        <v>0</v>
      </c>
      <c r="W76" s="5">
        <v>0</v>
      </c>
      <c r="X76" s="5">
        <v>0</v>
      </c>
      <c r="Y76" s="5">
        <v>219941</v>
      </c>
      <c r="Z76" s="5">
        <f t="shared" si="11"/>
        <v>219941</v>
      </c>
      <c r="AA76" s="20">
        <f aca="true" t="shared" si="13" ref="AA76:AA138">+Y76-Z76</f>
        <v>0</v>
      </c>
    </row>
    <row r="77" spans="1:27" ht="13.5" thickBot="1">
      <c r="A77" s="3" t="s">
        <v>1699</v>
      </c>
      <c r="B77" s="3" t="s">
        <v>1669</v>
      </c>
      <c r="C77" s="3" t="s">
        <v>1670</v>
      </c>
      <c r="D77" s="3" t="s">
        <v>1744</v>
      </c>
      <c r="E77" s="21" t="s">
        <v>1589</v>
      </c>
      <c r="F77" s="21" t="s">
        <v>1745</v>
      </c>
      <c r="G77" s="21" t="s">
        <v>1591</v>
      </c>
      <c r="H77" s="21" t="s">
        <v>1592</v>
      </c>
      <c r="I77" s="3" t="s">
        <v>1742</v>
      </c>
      <c r="J77" s="6">
        <v>0</v>
      </c>
      <c r="K77" s="6">
        <v>0</v>
      </c>
      <c r="L77" s="6">
        <v>0</v>
      </c>
      <c r="M77" s="6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f t="shared" si="12"/>
        <v>0</v>
      </c>
      <c r="U77" s="7">
        <v>10263</v>
      </c>
      <c r="V77" s="7">
        <v>0</v>
      </c>
      <c r="W77" s="7">
        <v>0</v>
      </c>
      <c r="X77" s="7">
        <v>0</v>
      </c>
      <c r="Y77" s="7">
        <v>10263</v>
      </c>
      <c r="Z77" s="7">
        <f t="shared" si="11"/>
        <v>10263</v>
      </c>
      <c r="AA77" s="20">
        <f t="shared" si="13"/>
        <v>0</v>
      </c>
    </row>
    <row r="78" spans="9:27" ht="12.75">
      <c r="I78" s="3" t="s">
        <v>135</v>
      </c>
      <c r="J78" s="4">
        <f aca="true" t="shared" si="14" ref="J78:Y78">SUM(J76:J77)</f>
        <v>0.833</v>
      </c>
      <c r="K78" s="4">
        <f t="shared" si="14"/>
        <v>1.5010000000000001</v>
      </c>
      <c r="L78" s="4">
        <f t="shared" si="14"/>
        <v>2.167</v>
      </c>
      <c r="M78" s="4">
        <f t="shared" si="14"/>
        <v>0.167</v>
      </c>
      <c r="N78" s="5">
        <f t="shared" si="14"/>
        <v>219941</v>
      </c>
      <c r="O78" s="5">
        <f t="shared" si="14"/>
        <v>0</v>
      </c>
      <c r="P78" s="5">
        <f t="shared" si="14"/>
        <v>0</v>
      </c>
      <c r="Q78" s="5">
        <f t="shared" si="14"/>
        <v>0</v>
      </c>
      <c r="R78" s="5">
        <f t="shared" si="14"/>
        <v>0</v>
      </c>
      <c r="S78" s="5">
        <f t="shared" si="14"/>
        <v>0</v>
      </c>
      <c r="T78" s="5">
        <f t="shared" si="14"/>
        <v>219941</v>
      </c>
      <c r="U78" s="5">
        <f t="shared" si="14"/>
        <v>10263</v>
      </c>
      <c r="V78" s="5">
        <f t="shared" si="14"/>
        <v>0</v>
      </c>
      <c r="W78" s="5">
        <f t="shared" si="14"/>
        <v>0</v>
      </c>
      <c r="X78" s="5">
        <f t="shared" si="14"/>
        <v>0</v>
      </c>
      <c r="Y78" s="5">
        <f t="shared" si="14"/>
        <v>230204</v>
      </c>
      <c r="Z78" s="5">
        <f t="shared" si="11"/>
        <v>230204</v>
      </c>
      <c r="AA78" s="20">
        <f t="shared" si="13"/>
        <v>0</v>
      </c>
    </row>
    <row r="79" spans="10:27" ht="12.75">
      <c r="J79" s="4"/>
      <c r="K79" s="4"/>
      <c r="L79" s="4"/>
      <c r="M79" s="4"/>
      <c r="N79" s="5"/>
      <c r="O79" s="5"/>
      <c r="P79" s="5"/>
      <c r="Q79" s="5"/>
      <c r="R79" s="5"/>
      <c r="S79" s="5"/>
      <c r="T79" s="5" t="s">
        <v>2540</v>
      </c>
      <c r="U79" s="5"/>
      <c r="V79" s="5"/>
      <c r="W79" s="5"/>
      <c r="X79" s="5"/>
      <c r="Y79" s="5"/>
      <c r="Z79" s="5" t="s">
        <v>2540</v>
      </c>
      <c r="AA79" s="20" t="s">
        <v>2540</v>
      </c>
    </row>
    <row r="80" spans="1:27" ht="12.75">
      <c r="A80" s="3" t="s">
        <v>1699</v>
      </c>
      <c r="B80" s="3" t="s">
        <v>1669</v>
      </c>
      <c r="C80" s="3" t="s">
        <v>1670</v>
      </c>
      <c r="D80" s="3" t="s">
        <v>1746</v>
      </c>
      <c r="E80" s="3" t="s">
        <v>1589</v>
      </c>
      <c r="F80" s="3" t="s">
        <v>1748</v>
      </c>
      <c r="G80" s="3" t="s">
        <v>1591</v>
      </c>
      <c r="H80" s="3" t="s">
        <v>1592</v>
      </c>
      <c r="I80" s="3" t="s">
        <v>1747</v>
      </c>
      <c r="J80" s="4">
        <v>0.333</v>
      </c>
      <c r="K80" s="4">
        <v>7.334</v>
      </c>
      <c r="L80" s="4">
        <v>1.388</v>
      </c>
      <c r="M80" s="4">
        <v>0.083</v>
      </c>
      <c r="N80" s="5">
        <v>444746</v>
      </c>
      <c r="O80" s="5">
        <v>0</v>
      </c>
      <c r="P80" s="5">
        <v>29573</v>
      </c>
      <c r="Q80" s="5">
        <v>0</v>
      </c>
      <c r="R80" s="5">
        <v>0</v>
      </c>
      <c r="S80" s="5">
        <v>0</v>
      </c>
      <c r="T80" s="5">
        <f t="shared" si="12"/>
        <v>474319</v>
      </c>
      <c r="U80" s="5">
        <f>SUM(S80:S80)</f>
        <v>0</v>
      </c>
      <c r="V80" s="5">
        <v>0</v>
      </c>
      <c r="W80" s="5">
        <v>0</v>
      </c>
      <c r="X80" s="5">
        <v>0</v>
      </c>
      <c r="Y80" s="5">
        <v>474319</v>
      </c>
      <c r="Z80" s="5">
        <f t="shared" si="11"/>
        <v>474319</v>
      </c>
      <c r="AA80" s="20">
        <f t="shared" si="13"/>
        <v>0</v>
      </c>
    </row>
    <row r="81" spans="1:27" ht="13.5" thickBot="1">
      <c r="A81" s="3" t="s">
        <v>1699</v>
      </c>
      <c r="B81" s="3" t="s">
        <v>1669</v>
      </c>
      <c r="C81" s="3" t="s">
        <v>1670</v>
      </c>
      <c r="D81" s="3" t="s">
        <v>1749</v>
      </c>
      <c r="E81" s="21" t="s">
        <v>1589</v>
      </c>
      <c r="F81" s="21" t="s">
        <v>1750</v>
      </c>
      <c r="G81" s="21" t="s">
        <v>1591</v>
      </c>
      <c r="H81" s="21" t="s">
        <v>1592</v>
      </c>
      <c r="I81" s="3" t="s">
        <v>1747</v>
      </c>
      <c r="J81" s="6">
        <v>0</v>
      </c>
      <c r="K81" s="6">
        <v>0</v>
      </c>
      <c r="L81" s="6">
        <v>0.087</v>
      </c>
      <c r="M81" s="6">
        <v>0</v>
      </c>
      <c r="N81" s="7">
        <v>2352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f t="shared" si="12"/>
        <v>2352</v>
      </c>
      <c r="U81" s="7">
        <v>24952</v>
      </c>
      <c r="V81" s="7">
        <v>0</v>
      </c>
      <c r="W81" s="7">
        <v>0</v>
      </c>
      <c r="X81" s="7">
        <v>0</v>
      </c>
      <c r="Y81" s="7">
        <v>27304</v>
      </c>
      <c r="Z81" s="7">
        <f t="shared" si="11"/>
        <v>27304</v>
      </c>
      <c r="AA81" s="20">
        <f t="shared" si="13"/>
        <v>0</v>
      </c>
    </row>
    <row r="82" spans="9:27" ht="12.75">
      <c r="I82" s="3" t="s">
        <v>136</v>
      </c>
      <c r="J82" s="4">
        <f aca="true" t="shared" si="15" ref="J82:Y82">SUM(J80:J81)</f>
        <v>0.333</v>
      </c>
      <c r="K82" s="4">
        <f t="shared" si="15"/>
        <v>7.334</v>
      </c>
      <c r="L82" s="4">
        <f t="shared" si="15"/>
        <v>1.4749999999999999</v>
      </c>
      <c r="M82" s="4">
        <f t="shared" si="15"/>
        <v>0.083</v>
      </c>
      <c r="N82" s="5">
        <f t="shared" si="15"/>
        <v>447098</v>
      </c>
      <c r="O82" s="5">
        <f t="shared" si="15"/>
        <v>0</v>
      </c>
      <c r="P82" s="5">
        <f t="shared" si="15"/>
        <v>29573</v>
      </c>
      <c r="Q82" s="5">
        <f t="shared" si="15"/>
        <v>0</v>
      </c>
      <c r="R82" s="5">
        <f t="shared" si="15"/>
        <v>0</v>
      </c>
      <c r="S82" s="5">
        <f t="shared" si="15"/>
        <v>0</v>
      </c>
      <c r="T82" s="5">
        <f t="shared" si="15"/>
        <v>476671</v>
      </c>
      <c r="U82" s="5">
        <f t="shared" si="15"/>
        <v>24952</v>
      </c>
      <c r="V82" s="5">
        <f t="shared" si="15"/>
        <v>0</v>
      </c>
      <c r="W82" s="5">
        <f t="shared" si="15"/>
        <v>0</v>
      </c>
      <c r="X82" s="5">
        <f t="shared" si="15"/>
        <v>0</v>
      </c>
      <c r="Y82" s="5">
        <f t="shared" si="15"/>
        <v>501623</v>
      </c>
      <c r="Z82" s="5">
        <f t="shared" si="11"/>
        <v>501623</v>
      </c>
      <c r="AA82" s="20">
        <f t="shared" si="13"/>
        <v>0</v>
      </c>
    </row>
    <row r="83" spans="5:27" ht="13.5" thickBot="1">
      <c r="E83" s="21"/>
      <c r="F83" s="21"/>
      <c r="G83" s="21"/>
      <c r="H83" s="21"/>
      <c r="J83" s="6"/>
      <c r="K83" s="6"/>
      <c r="L83" s="6"/>
      <c r="M83" s="6"/>
      <c r="N83" s="7"/>
      <c r="O83" s="7"/>
      <c r="P83" s="7"/>
      <c r="Q83" s="7"/>
      <c r="R83" s="7"/>
      <c r="S83" s="7"/>
      <c r="T83" s="7" t="s">
        <v>2540</v>
      </c>
      <c r="U83" s="7"/>
      <c r="V83" s="7"/>
      <c r="W83" s="7"/>
      <c r="X83" s="7"/>
      <c r="Y83" s="7"/>
      <c r="Z83" s="7" t="s">
        <v>2540</v>
      </c>
      <c r="AA83" s="20" t="s">
        <v>2540</v>
      </c>
    </row>
    <row r="84" spans="9:27" ht="12.75">
      <c r="I84" s="3" t="s">
        <v>1082</v>
      </c>
      <c r="J84" s="4">
        <f>SUM(J82+J54+J58+J62+J66+J70+J74+J78)</f>
        <v>1.166</v>
      </c>
      <c r="K84" s="4">
        <f aca="true" t="shared" si="16" ref="K84:Y84">SUM(K82+K54+K58+K62+K66+K70+K74+K78)</f>
        <v>33.244</v>
      </c>
      <c r="L84" s="4">
        <f t="shared" si="16"/>
        <v>13.392999999999999</v>
      </c>
      <c r="M84" s="4">
        <f t="shared" si="16"/>
        <v>2.1149999999999998</v>
      </c>
      <c r="N84" s="5">
        <f t="shared" si="16"/>
        <v>2281955</v>
      </c>
      <c r="O84" s="5">
        <f t="shared" si="16"/>
        <v>0</v>
      </c>
      <c r="P84" s="5">
        <f t="shared" si="16"/>
        <v>74898</v>
      </c>
      <c r="Q84" s="5">
        <f t="shared" si="16"/>
        <v>86670</v>
      </c>
      <c r="R84" s="5">
        <f t="shared" si="16"/>
        <v>0</v>
      </c>
      <c r="S84" s="5">
        <f t="shared" si="16"/>
        <v>0</v>
      </c>
      <c r="T84" s="5">
        <f t="shared" si="16"/>
        <v>2443523</v>
      </c>
      <c r="U84" s="5">
        <f t="shared" si="16"/>
        <v>273526</v>
      </c>
      <c r="V84" s="5">
        <f t="shared" si="16"/>
        <v>0</v>
      </c>
      <c r="W84" s="5">
        <f t="shared" si="16"/>
        <v>0</v>
      </c>
      <c r="X84" s="5">
        <f t="shared" si="16"/>
        <v>0</v>
      </c>
      <c r="Y84" s="5">
        <f t="shared" si="16"/>
        <v>2717049</v>
      </c>
      <c r="Z84" s="5">
        <f t="shared" si="11"/>
        <v>2717049</v>
      </c>
      <c r="AA84" s="20">
        <f t="shared" si="13"/>
        <v>0</v>
      </c>
    </row>
    <row r="85" spans="10:27" ht="12.75">
      <c r="J85" s="4" t="s">
        <v>2540</v>
      </c>
      <c r="K85" s="4"/>
      <c r="L85" s="4"/>
      <c r="M85" s="4"/>
      <c r="N85" s="5"/>
      <c r="O85" s="5"/>
      <c r="P85" s="5"/>
      <c r="Q85" s="5"/>
      <c r="R85" s="5"/>
      <c r="S85" s="5"/>
      <c r="T85" s="5" t="s">
        <v>2540</v>
      </c>
      <c r="U85" s="5"/>
      <c r="V85" s="5"/>
      <c r="W85" s="5"/>
      <c r="X85" s="5"/>
      <c r="Y85" s="5"/>
      <c r="Z85" s="5" t="s">
        <v>2540</v>
      </c>
      <c r="AA85" s="20" t="s">
        <v>2540</v>
      </c>
    </row>
    <row r="86" spans="9:27" ht="12.75">
      <c r="I86" s="3" t="s">
        <v>1083</v>
      </c>
      <c r="J86" s="4"/>
      <c r="K86" s="4"/>
      <c r="L86" s="4"/>
      <c r="M86" s="4"/>
      <c r="N86" s="5"/>
      <c r="O86" s="5"/>
      <c r="P86" s="5"/>
      <c r="Q86" s="5"/>
      <c r="R86" s="5"/>
      <c r="S86" s="5"/>
      <c r="T86" s="5" t="s">
        <v>2540</v>
      </c>
      <c r="U86" s="5"/>
      <c r="V86" s="5"/>
      <c r="W86" s="5"/>
      <c r="X86" s="5"/>
      <c r="Y86" s="5"/>
      <c r="Z86" s="5" t="s">
        <v>2540</v>
      </c>
      <c r="AA86" s="20" t="s">
        <v>2540</v>
      </c>
    </row>
    <row r="87" spans="10:27" ht="12.75">
      <c r="J87" s="4"/>
      <c r="K87" s="4"/>
      <c r="L87" s="4"/>
      <c r="M87" s="4"/>
      <c r="N87" s="5"/>
      <c r="O87" s="5"/>
      <c r="P87" s="5"/>
      <c r="Q87" s="5"/>
      <c r="R87" s="5"/>
      <c r="S87" s="5"/>
      <c r="T87" s="5" t="s">
        <v>2540</v>
      </c>
      <c r="U87" s="5"/>
      <c r="V87" s="5"/>
      <c r="W87" s="5"/>
      <c r="X87" s="5"/>
      <c r="Y87" s="5"/>
      <c r="Z87" s="5" t="s">
        <v>2540</v>
      </c>
      <c r="AA87" s="20" t="s">
        <v>2540</v>
      </c>
    </row>
    <row r="88" spans="1:27" ht="12.75">
      <c r="A88" s="3" t="s">
        <v>1751</v>
      </c>
      <c r="B88" s="3" t="s">
        <v>1669</v>
      </c>
      <c r="C88" s="3" t="s">
        <v>1670</v>
      </c>
      <c r="D88" s="3" t="s">
        <v>1752</v>
      </c>
      <c r="E88" s="3" t="s">
        <v>1589</v>
      </c>
      <c r="F88" s="3" t="s">
        <v>1754</v>
      </c>
      <c r="G88" s="3" t="s">
        <v>1591</v>
      </c>
      <c r="H88" s="3" t="s">
        <v>1592</v>
      </c>
      <c r="I88" s="3" t="s">
        <v>2925</v>
      </c>
      <c r="J88" s="4">
        <v>0</v>
      </c>
      <c r="K88" s="4">
        <v>4.086</v>
      </c>
      <c r="L88" s="4">
        <v>14.19</v>
      </c>
      <c r="M88" s="4">
        <v>24.918</v>
      </c>
      <c r="N88" s="5">
        <v>925396</v>
      </c>
      <c r="O88" s="5">
        <v>0</v>
      </c>
      <c r="P88" s="5">
        <v>79508</v>
      </c>
      <c r="Q88" s="5">
        <v>0</v>
      </c>
      <c r="R88" s="5">
        <v>0</v>
      </c>
      <c r="S88" s="5">
        <v>0</v>
      </c>
      <c r="T88" s="5">
        <f t="shared" si="12"/>
        <v>1004904</v>
      </c>
      <c r="U88" s="5">
        <v>75445</v>
      </c>
      <c r="V88" s="5">
        <v>0</v>
      </c>
      <c r="W88" s="5">
        <v>0</v>
      </c>
      <c r="X88" s="5">
        <v>0</v>
      </c>
      <c r="Y88" s="5">
        <v>1080349</v>
      </c>
      <c r="Z88" s="5">
        <f t="shared" si="11"/>
        <v>1080349</v>
      </c>
      <c r="AA88" s="20">
        <f t="shared" si="13"/>
        <v>0</v>
      </c>
    </row>
    <row r="89" spans="1:27" ht="12.75">
      <c r="A89" s="3" t="s">
        <v>1751</v>
      </c>
      <c r="B89" s="3" t="s">
        <v>1669</v>
      </c>
      <c r="C89" s="3" t="s">
        <v>1670</v>
      </c>
      <c r="D89" s="3" t="s">
        <v>1755</v>
      </c>
      <c r="E89" s="3" t="s">
        <v>1589</v>
      </c>
      <c r="F89" s="3" t="s">
        <v>1757</v>
      </c>
      <c r="G89" s="3" t="s">
        <v>1591</v>
      </c>
      <c r="H89" s="3" t="s">
        <v>1592</v>
      </c>
      <c r="I89" s="3" t="s">
        <v>2926</v>
      </c>
      <c r="J89" s="4">
        <v>0</v>
      </c>
      <c r="K89" s="4">
        <v>0</v>
      </c>
      <c r="L89" s="4">
        <v>0</v>
      </c>
      <c r="M89" s="4">
        <v>0</v>
      </c>
      <c r="N89" s="5">
        <v>0</v>
      </c>
      <c r="O89" s="5">
        <v>0</v>
      </c>
      <c r="P89" s="5">
        <v>0</v>
      </c>
      <c r="Q89" s="5">
        <v>1759643</v>
      </c>
      <c r="R89" s="5">
        <v>0</v>
      </c>
      <c r="S89" s="5">
        <v>0</v>
      </c>
      <c r="T89" s="5">
        <f t="shared" si="12"/>
        <v>1759643</v>
      </c>
      <c r="U89" s="5">
        <f>SUM(S89:S89)</f>
        <v>0</v>
      </c>
      <c r="V89" s="5">
        <v>0</v>
      </c>
      <c r="W89" s="5">
        <v>0</v>
      </c>
      <c r="X89" s="5">
        <v>0</v>
      </c>
      <c r="Y89" s="5">
        <v>1759643</v>
      </c>
      <c r="Z89" s="5">
        <f t="shared" si="11"/>
        <v>1759643</v>
      </c>
      <c r="AA89" s="20">
        <f t="shared" si="13"/>
        <v>0</v>
      </c>
    </row>
    <row r="90" spans="1:27" ht="12.75">
      <c r="A90" s="3" t="s">
        <v>1751</v>
      </c>
      <c r="B90" s="3" t="s">
        <v>1669</v>
      </c>
      <c r="C90" s="3" t="s">
        <v>1670</v>
      </c>
      <c r="D90" s="3" t="s">
        <v>1758</v>
      </c>
      <c r="E90" s="3" t="s">
        <v>1589</v>
      </c>
      <c r="F90" s="3" t="s">
        <v>1760</v>
      </c>
      <c r="G90" s="3" t="s">
        <v>1591</v>
      </c>
      <c r="H90" s="3" t="s">
        <v>1592</v>
      </c>
      <c r="I90" s="3" t="s">
        <v>1759</v>
      </c>
      <c r="J90" s="4">
        <v>0</v>
      </c>
      <c r="K90" s="4">
        <v>0</v>
      </c>
      <c r="L90" s="4">
        <v>0</v>
      </c>
      <c r="M90" s="4">
        <v>0</v>
      </c>
      <c r="N90" s="5">
        <v>0</v>
      </c>
      <c r="O90" s="5">
        <v>0</v>
      </c>
      <c r="P90" s="5">
        <v>427708</v>
      </c>
      <c r="Q90" s="5">
        <v>0</v>
      </c>
      <c r="R90" s="5">
        <v>0</v>
      </c>
      <c r="S90" s="5">
        <v>0</v>
      </c>
      <c r="T90" s="5">
        <f t="shared" si="12"/>
        <v>427708</v>
      </c>
      <c r="U90" s="5">
        <f>SUM(S90:S90)</f>
        <v>0</v>
      </c>
      <c r="V90" s="5">
        <v>0</v>
      </c>
      <c r="W90" s="5">
        <v>0</v>
      </c>
      <c r="X90" s="5">
        <v>0</v>
      </c>
      <c r="Y90" s="5">
        <v>427708</v>
      </c>
      <c r="Z90" s="5">
        <f t="shared" si="11"/>
        <v>427708</v>
      </c>
      <c r="AA90" s="20">
        <f t="shared" si="13"/>
        <v>0</v>
      </c>
    </row>
    <row r="91" spans="1:27" ht="12.75">
      <c r="A91" s="3" t="s">
        <v>1751</v>
      </c>
      <c r="B91" s="3" t="s">
        <v>1669</v>
      </c>
      <c r="C91" s="3" t="s">
        <v>1670</v>
      </c>
      <c r="D91" s="3" t="s">
        <v>1761</v>
      </c>
      <c r="E91" s="3" t="s">
        <v>1589</v>
      </c>
      <c r="F91" s="3" t="s">
        <v>1763</v>
      </c>
      <c r="G91" s="3" t="s">
        <v>1591</v>
      </c>
      <c r="H91" s="3" t="s">
        <v>1592</v>
      </c>
      <c r="I91" s="3" t="s">
        <v>1762</v>
      </c>
      <c r="J91" s="4">
        <v>0</v>
      </c>
      <c r="K91" s="4">
        <v>9</v>
      </c>
      <c r="L91" s="4">
        <v>1</v>
      </c>
      <c r="M91" s="4">
        <v>0</v>
      </c>
      <c r="N91" s="5">
        <v>414372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f t="shared" si="12"/>
        <v>414372</v>
      </c>
      <c r="U91" s="5">
        <v>23000</v>
      </c>
      <c r="V91" s="5">
        <v>0</v>
      </c>
      <c r="W91" s="5">
        <v>0</v>
      </c>
      <c r="X91" s="5">
        <v>0</v>
      </c>
      <c r="Y91" s="5">
        <v>437372</v>
      </c>
      <c r="Z91" s="5">
        <f t="shared" si="11"/>
        <v>437372</v>
      </c>
      <c r="AA91" s="20">
        <f t="shared" si="13"/>
        <v>0</v>
      </c>
    </row>
    <row r="92" spans="1:27" ht="12.75">
      <c r="A92" s="3" t="s">
        <v>1751</v>
      </c>
      <c r="B92" s="3" t="s">
        <v>1669</v>
      </c>
      <c r="C92" s="3" t="s">
        <v>1670</v>
      </c>
      <c r="D92" s="3" t="s">
        <v>1764</v>
      </c>
      <c r="E92" s="3" t="s">
        <v>1589</v>
      </c>
      <c r="F92" s="3" t="s">
        <v>1766</v>
      </c>
      <c r="G92" s="3" t="s">
        <v>1591</v>
      </c>
      <c r="H92" s="3" t="s">
        <v>1592</v>
      </c>
      <c r="I92" s="3" t="s">
        <v>1765</v>
      </c>
      <c r="J92" s="4">
        <v>0</v>
      </c>
      <c r="K92" s="4">
        <v>2</v>
      </c>
      <c r="L92" s="4">
        <v>0</v>
      </c>
      <c r="M92" s="4">
        <v>0</v>
      </c>
      <c r="N92" s="5">
        <v>90876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f t="shared" si="12"/>
        <v>90876</v>
      </c>
      <c r="U92" s="5">
        <v>4500</v>
      </c>
      <c r="V92" s="5">
        <v>0</v>
      </c>
      <c r="W92" s="5">
        <v>0</v>
      </c>
      <c r="X92" s="5">
        <v>0</v>
      </c>
      <c r="Y92" s="5">
        <v>95376</v>
      </c>
      <c r="Z92" s="5">
        <f t="shared" si="11"/>
        <v>95376</v>
      </c>
      <c r="AA92" s="20">
        <f t="shared" si="13"/>
        <v>0</v>
      </c>
    </row>
    <row r="93" spans="1:27" ht="12.75">
      <c r="A93" s="3" t="s">
        <v>1751</v>
      </c>
      <c r="B93" s="3" t="s">
        <v>1669</v>
      </c>
      <c r="C93" s="3" t="s">
        <v>1670</v>
      </c>
      <c r="D93" s="3" t="s">
        <v>1767</v>
      </c>
      <c r="E93" s="3" t="s">
        <v>1589</v>
      </c>
      <c r="F93" s="3" t="s">
        <v>1769</v>
      </c>
      <c r="G93" s="3" t="s">
        <v>1591</v>
      </c>
      <c r="H93" s="3" t="s">
        <v>1592</v>
      </c>
      <c r="I93" s="3" t="s">
        <v>1768</v>
      </c>
      <c r="J93" s="4">
        <v>0</v>
      </c>
      <c r="K93" s="4">
        <v>8</v>
      </c>
      <c r="L93" s="4">
        <v>2</v>
      </c>
      <c r="M93" s="4">
        <v>0</v>
      </c>
      <c r="N93" s="5">
        <v>415716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f t="shared" si="12"/>
        <v>415716</v>
      </c>
      <c r="U93" s="5">
        <v>36208</v>
      </c>
      <c r="V93" s="5">
        <v>0</v>
      </c>
      <c r="W93" s="5">
        <v>0</v>
      </c>
      <c r="X93" s="5">
        <v>0</v>
      </c>
      <c r="Y93" s="5">
        <v>451924</v>
      </c>
      <c r="Z93" s="5">
        <f t="shared" si="11"/>
        <v>451924</v>
      </c>
      <c r="AA93" s="20">
        <f t="shared" si="13"/>
        <v>0</v>
      </c>
    </row>
    <row r="94" spans="1:27" ht="12.75">
      <c r="A94" s="3" t="s">
        <v>1751</v>
      </c>
      <c r="B94" s="3" t="s">
        <v>1669</v>
      </c>
      <c r="C94" s="3" t="s">
        <v>1670</v>
      </c>
      <c r="D94" s="3" t="s">
        <v>1770</v>
      </c>
      <c r="E94" s="3" t="s">
        <v>1589</v>
      </c>
      <c r="F94" s="3" t="s">
        <v>1772</v>
      </c>
      <c r="G94" s="3" t="s">
        <v>1591</v>
      </c>
      <c r="H94" s="3" t="s">
        <v>1592</v>
      </c>
      <c r="I94" s="3" t="s">
        <v>1771</v>
      </c>
      <c r="J94" s="4">
        <v>0</v>
      </c>
      <c r="K94" s="4">
        <f>10+0.5</f>
        <v>10.5</v>
      </c>
      <c r="L94" s="4">
        <v>1</v>
      </c>
      <c r="M94" s="4">
        <v>1</v>
      </c>
      <c r="N94" s="5">
        <v>536762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f t="shared" si="12"/>
        <v>536762</v>
      </c>
      <c r="U94" s="5">
        <v>51500</v>
      </c>
      <c r="V94" s="5">
        <v>0</v>
      </c>
      <c r="W94" s="5">
        <v>0</v>
      </c>
      <c r="X94" s="5">
        <v>0</v>
      </c>
      <c r="Y94" s="5">
        <v>588262</v>
      </c>
      <c r="Z94" s="5">
        <f t="shared" si="11"/>
        <v>588262</v>
      </c>
      <c r="AA94" s="20">
        <f t="shared" si="13"/>
        <v>0</v>
      </c>
    </row>
    <row r="95" spans="1:27" ht="12.75">
      <c r="A95" s="3" t="s">
        <v>1751</v>
      </c>
      <c r="B95" s="3" t="s">
        <v>1669</v>
      </c>
      <c r="C95" s="3" t="s">
        <v>1670</v>
      </c>
      <c r="D95" s="3" t="s">
        <v>1773</v>
      </c>
      <c r="E95" s="3" t="s">
        <v>1589</v>
      </c>
      <c r="F95" s="3" t="s">
        <v>1775</v>
      </c>
      <c r="G95" s="3" t="s">
        <v>1591</v>
      </c>
      <c r="H95" s="3" t="s">
        <v>1592</v>
      </c>
      <c r="I95" s="3" t="s">
        <v>1774</v>
      </c>
      <c r="J95" s="4">
        <v>0</v>
      </c>
      <c r="K95" s="4">
        <v>14</v>
      </c>
      <c r="L95" s="4">
        <v>4</v>
      </c>
      <c r="M95" s="4">
        <v>3</v>
      </c>
      <c r="N95" s="5">
        <v>1006172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f t="shared" si="12"/>
        <v>1006172</v>
      </c>
      <c r="U95" s="5">
        <v>114687</v>
      </c>
      <c r="V95" s="5">
        <v>0</v>
      </c>
      <c r="W95" s="5">
        <v>0</v>
      </c>
      <c r="X95" s="5">
        <v>0</v>
      </c>
      <c r="Y95" s="5">
        <v>1120859</v>
      </c>
      <c r="Z95" s="5">
        <f t="shared" si="11"/>
        <v>1120859</v>
      </c>
      <c r="AA95" s="20">
        <f t="shared" si="13"/>
        <v>0</v>
      </c>
    </row>
    <row r="96" spans="1:27" ht="12.75">
      <c r="A96" s="3" t="s">
        <v>1751</v>
      </c>
      <c r="B96" s="3" t="s">
        <v>1669</v>
      </c>
      <c r="C96" s="3" t="s">
        <v>1670</v>
      </c>
      <c r="D96" s="3" t="s">
        <v>1776</v>
      </c>
      <c r="E96" s="3" t="s">
        <v>1589</v>
      </c>
      <c r="F96" s="3" t="s">
        <v>1778</v>
      </c>
      <c r="G96" s="3" t="s">
        <v>1591</v>
      </c>
      <c r="H96" s="3" t="s">
        <v>1592</v>
      </c>
      <c r="I96" s="3" t="s">
        <v>1777</v>
      </c>
      <c r="J96" s="4">
        <v>0</v>
      </c>
      <c r="K96" s="4">
        <v>1</v>
      </c>
      <c r="L96" s="4">
        <v>0</v>
      </c>
      <c r="M96" s="4">
        <v>0</v>
      </c>
      <c r="N96" s="5">
        <v>71880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f t="shared" si="12"/>
        <v>71880</v>
      </c>
      <c r="U96" s="5">
        <v>8000</v>
      </c>
      <c r="V96" s="5">
        <v>0</v>
      </c>
      <c r="W96" s="5">
        <v>0</v>
      </c>
      <c r="X96" s="5">
        <v>0</v>
      </c>
      <c r="Y96" s="5">
        <v>79880</v>
      </c>
      <c r="Z96" s="5">
        <f t="shared" si="11"/>
        <v>79880</v>
      </c>
      <c r="AA96" s="20">
        <f t="shared" si="13"/>
        <v>0</v>
      </c>
    </row>
    <row r="97" spans="1:27" ht="12.75">
      <c r="A97" s="3" t="s">
        <v>1751</v>
      </c>
      <c r="B97" s="3" t="s">
        <v>1669</v>
      </c>
      <c r="C97" s="3" t="s">
        <v>1670</v>
      </c>
      <c r="D97" s="3" t="s">
        <v>1779</v>
      </c>
      <c r="E97" s="3" t="s">
        <v>1589</v>
      </c>
      <c r="F97" s="3" t="s">
        <v>1781</v>
      </c>
      <c r="G97" s="3" t="s">
        <v>1591</v>
      </c>
      <c r="H97" s="3" t="s">
        <v>1592</v>
      </c>
      <c r="I97" s="3" t="s">
        <v>1780</v>
      </c>
      <c r="J97" s="4">
        <v>1</v>
      </c>
      <c r="K97" s="4">
        <v>12</v>
      </c>
      <c r="L97" s="4">
        <v>1</v>
      </c>
      <c r="M97" s="4">
        <v>2</v>
      </c>
      <c r="N97" s="5">
        <v>824996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f t="shared" si="12"/>
        <v>824996</v>
      </c>
      <c r="U97" s="5">
        <v>56306</v>
      </c>
      <c r="V97" s="5">
        <v>0</v>
      </c>
      <c r="W97" s="5">
        <v>0</v>
      </c>
      <c r="X97" s="5">
        <v>0</v>
      </c>
      <c r="Y97" s="5">
        <v>881302</v>
      </c>
      <c r="Z97" s="5">
        <f t="shared" si="11"/>
        <v>881302</v>
      </c>
      <c r="AA97" s="20">
        <f t="shared" si="13"/>
        <v>0</v>
      </c>
    </row>
    <row r="98" spans="1:27" ht="12.75">
      <c r="A98" s="3" t="s">
        <v>1751</v>
      </c>
      <c r="B98" s="3" t="s">
        <v>1669</v>
      </c>
      <c r="C98" s="3" t="s">
        <v>1670</v>
      </c>
      <c r="D98" s="3" t="s">
        <v>1782</v>
      </c>
      <c r="E98" s="3" t="s">
        <v>1589</v>
      </c>
      <c r="F98" s="3" t="s">
        <v>1784</v>
      </c>
      <c r="G98" s="3" t="s">
        <v>1591</v>
      </c>
      <c r="H98" s="3" t="s">
        <v>1592</v>
      </c>
      <c r="I98" s="3" t="s">
        <v>1783</v>
      </c>
      <c r="J98" s="4">
        <v>0</v>
      </c>
      <c r="K98" s="4">
        <v>9</v>
      </c>
      <c r="L98" s="4">
        <v>1</v>
      </c>
      <c r="M98" s="4">
        <v>1</v>
      </c>
      <c r="N98" s="5">
        <v>514332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f t="shared" si="12"/>
        <v>514332</v>
      </c>
      <c r="U98" s="5">
        <v>29035</v>
      </c>
      <c r="V98" s="5">
        <v>0</v>
      </c>
      <c r="W98" s="5">
        <v>0</v>
      </c>
      <c r="X98" s="5">
        <v>0</v>
      </c>
      <c r="Y98" s="5">
        <v>543367</v>
      </c>
      <c r="Z98" s="5">
        <f t="shared" si="11"/>
        <v>543367</v>
      </c>
      <c r="AA98" s="20">
        <f t="shared" si="13"/>
        <v>0</v>
      </c>
    </row>
    <row r="99" spans="1:27" ht="12.75">
      <c r="A99" s="3" t="s">
        <v>1751</v>
      </c>
      <c r="B99" s="3" t="s">
        <v>1669</v>
      </c>
      <c r="C99" s="3" t="s">
        <v>1670</v>
      </c>
      <c r="D99" s="3" t="s">
        <v>1785</v>
      </c>
      <c r="E99" s="3" t="s">
        <v>1589</v>
      </c>
      <c r="F99" s="3" t="s">
        <v>1787</v>
      </c>
      <c r="G99" s="3" t="s">
        <v>1591</v>
      </c>
      <c r="H99" s="3" t="s">
        <v>1592</v>
      </c>
      <c r="I99" s="3" t="s">
        <v>1786</v>
      </c>
      <c r="J99" s="4">
        <v>1</v>
      </c>
      <c r="K99" s="4">
        <v>21</v>
      </c>
      <c r="L99" s="4">
        <v>3</v>
      </c>
      <c r="M99" s="4">
        <v>4</v>
      </c>
      <c r="N99" s="5">
        <v>1216860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f t="shared" si="12"/>
        <v>1216860</v>
      </c>
      <c r="U99" s="5">
        <v>53900</v>
      </c>
      <c r="V99" s="5">
        <v>0</v>
      </c>
      <c r="W99" s="5">
        <v>0</v>
      </c>
      <c r="X99" s="5">
        <v>0</v>
      </c>
      <c r="Y99" s="5">
        <v>1270760</v>
      </c>
      <c r="Z99" s="5">
        <f t="shared" si="11"/>
        <v>1270760</v>
      </c>
      <c r="AA99" s="20">
        <f t="shared" si="13"/>
        <v>0</v>
      </c>
    </row>
    <row r="100" spans="1:27" ht="12.75">
      <c r="A100" s="3" t="s">
        <v>1751</v>
      </c>
      <c r="B100" s="3" t="s">
        <v>1669</v>
      </c>
      <c r="C100" s="3" t="s">
        <v>1670</v>
      </c>
      <c r="D100" s="3" t="s">
        <v>1788</v>
      </c>
      <c r="E100" s="3" t="s">
        <v>1589</v>
      </c>
      <c r="F100" s="3" t="s">
        <v>1790</v>
      </c>
      <c r="G100" s="3" t="s">
        <v>1591</v>
      </c>
      <c r="H100" s="3" t="s">
        <v>1592</v>
      </c>
      <c r="I100" s="3" t="s">
        <v>1789</v>
      </c>
      <c r="J100" s="4">
        <v>0</v>
      </c>
      <c r="K100" s="4">
        <v>1</v>
      </c>
      <c r="L100" s="4">
        <v>0</v>
      </c>
      <c r="M100" s="4">
        <v>0</v>
      </c>
      <c r="N100" s="5">
        <v>54012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f t="shared" si="12"/>
        <v>54012</v>
      </c>
      <c r="U100" s="5">
        <v>5170</v>
      </c>
      <c r="V100" s="5">
        <v>0</v>
      </c>
      <c r="W100" s="5">
        <v>0</v>
      </c>
      <c r="X100" s="5">
        <v>0</v>
      </c>
      <c r="Y100" s="5">
        <v>59182</v>
      </c>
      <c r="Z100" s="5">
        <f t="shared" si="11"/>
        <v>59182</v>
      </c>
      <c r="AA100" s="20">
        <f t="shared" si="13"/>
        <v>0</v>
      </c>
    </row>
    <row r="101" spans="1:27" ht="12.75">
      <c r="A101" s="3" t="s">
        <v>1751</v>
      </c>
      <c r="B101" s="3" t="s">
        <v>1669</v>
      </c>
      <c r="C101" s="3" t="s">
        <v>1670</v>
      </c>
      <c r="D101" s="3" t="s">
        <v>1791</v>
      </c>
      <c r="E101" s="3" t="s">
        <v>1589</v>
      </c>
      <c r="F101" s="3" t="s">
        <v>1793</v>
      </c>
      <c r="G101" s="3" t="s">
        <v>1591</v>
      </c>
      <c r="H101" s="3" t="s">
        <v>1592</v>
      </c>
      <c r="I101" s="3" t="s">
        <v>1792</v>
      </c>
      <c r="J101" s="4">
        <v>0</v>
      </c>
      <c r="K101" s="4">
        <v>1</v>
      </c>
      <c r="L101" s="4">
        <v>0</v>
      </c>
      <c r="M101" s="4">
        <v>0</v>
      </c>
      <c r="N101" s="5">
        <v>36684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f t="shared" si="12"/>
        <v>36684</v>
      </c>
      <c r="U101" s="5">
        <v>20275</v>
      </c>
      <c r="V101" s="5">
        <v>0</v>
      </c>
      <c r="W101" s="5">
        <v>0</v>
      </c>
      <c r="X101" s="5">
        <v>0</v>
      </c>
      <c r="Y101" s="5">
        <v>56959</v>
      </c>
      <c r="Z101" s="5">
        <f t="shared" si="11"/>
        <v>56959</v>
      </c>
      <c r="AA101" s="20">
        <f t="shared" si="13"/>
        <v>0</v>
      </c>
    </row>
    <row r="102" spans="1:27" ht="12.75">
      <c r="A102" s="3" t="s">
        <v>1751</v>
      </c>
      <c r="B102" s="3" t="s">
        <v>1669</v>
      </c>
      <c r="C102" s="3" t="s">
        <v>1670</v>
      </c>
      <c r="D102" s="3" t="s">
        <v>1794</v>
      </c>
      <c r="E102" s="3" t="s">
        <v>1589</v>
      </c>
      <c r="F102" s="3" t="s">
        <v>1796</v>
      </c>
      <c r="G102" s="3" t="s">
        <v>1591</v>
      </c>
      <c r="H102" s="3" t="s">
        <v>1592</v>
      </c>
      <c r="I102" s="3" t="s">
        <v>1795</v>
      </c>
      <c r="J102" s="4">
        <v>1</v>
      </c>
      <c r="K102" s="4">
        <v>10</v>
      </c>
      <c r="L102" s="4">
        <v>1</v>
      </c>
      <c r="M102" s="4">
        <v>0</v>
      </c>
      <c r="N102" s="5">
        <v>547288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f t="shared" si="12"/>
        <v>547288</v>
      </c>
      <c r="U102" s="5">
        <v>27000</v>
      </c>
      <c r="V102" s="5">
        <v>0</v>
      </c>
      <c r="W102" s="5">
        <v>0</v>
      </c>
      <c r="X102" s="5">
        <v>0</v>
      </c>
      <c r="Y102" s="5">
        <v>574288</v>
      </c>
      <c r="Z102" s="5">
        <f t="shared" si="11"/>
        <v>574288</v>
      </c>
      <c r="AA102" s="20">
        <f t="shared" si="13"/>
        <v>0</v>
      </c>
    </row>
    <row r="103" spans="1:27" ht="12.75">
      <c r="A103" s="3" t="s">
        <v>1751</v>
      </c>
      <c r="B103" s="3" t="s">
        <v>1669</v>
      </c>
      <c r="C103" s="3" t="s">
        <v>1670</v>
      </c>
      <c r="D103" s="3" t="s">
        <v>1797</v>
      </c>
      <c r="E103" s="3" t="s">
        <v>1589</v>
      </c>
      <c r="F103" s="3" t="s">
        <v>1799</v>
      </c>
      <c r="G103" s="3" t="s">
        <v>1591</v>
      </c>
      <c r="H103" s="3" t="s">
        <v>1592</v>
      </c>
      <c r="I103" s="3" t="s">
        <v>1798</v>
      </c>
      <c r="J103" s="4">
        <v>0</v>
      </c>
      <c r="K103" s="4">
        <v>19</v>
      </c>
      <c r="L103" s="4">
        <v>5.485</v>
      </c>
      <c r="M103" s="4">
        <v>2</v>
      </c>
      <c r="N103" s="5">
        <v>1378452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f t="shared" si="12"/>
        <v>1378452</v>
      </c>
      <c r="U103" s="5">
        <v>90000</v>
      </c>
      <c r="V103" s="5">
        <v>0</v>
      </c>
      <c r="W103" s="5">
        <v>0</v>
      </c>
      <c r="X103" s="5">
        <v>0</v>
      </c>
      <c r="Y103" s="5">
        <v>1468452</v>
      </c>
      <c r="Z103" s="5">
        <f t="shared" si="11"/>
        <v>1468452</v>
      </c>
      <c r="AA103" s="20">
        <f t="shared" si="13"/>
        <v>0</v>
      </c>
    </row>
    <row r="104" spans="1:27" ht="12.75">
      <c r="A104" s="3" t="s">
        <v>1751</v>
      </c>
      <c r="B104" s="3" t="s">
        <v>1669</v>
      </c>
      <c r="C104" s="3" t="s">
        <v>1670</v>
      </c>
      <c r="D104" s="3" t="s">
        <v>1800</v>
      </c>
      <c r="E104" s="3" t="s">
        <v>1589</v>
      </c>
      <c r="F104" s="3" t="s">
        <v>1802</v>
      </c>
      <c r="G104" s="3" t="s">
        <v>1591</v>
      </c>
      <c r="H104" s="3" t="s">
        <v>1592</v>
      </c>
      <c r="I104" s="3" t="s">
        <v>1801</v>
      </c>
      <c r="J104" s="4">
        <v>0</v>
      </c>
      <c r="K104" s="4">
        <v>11</v>
      </c>
      <c r="L104" s="4">
        <v>1</v>
      </c>
      <c r="M104" s="4">
        <v>0</v>
      </c>
      <c r="N104" s="5">
        <v>471328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f t="shared" si="12"/>
        <v>471328</v>
      </c>
      <c r="U104" s="5">
        <v>24500</v>
      </c>
      <c r="V104" s="5">
        <v>0</v>
      </c>
      <c r="W104" s="5">
        <v>0</v>
      </c>
      <c r="X104" s="5">
        <v>0</v>
      </c>
      <c r="Y104" s="5">
        <v>495828</v>
      </c>
      <c r="Z104" s="5">
        <f t="shared" si="11"/>
        <v>495828</v>
      </c>
      <c r="AA104" s="20">
        <f t="shared" si="13"/>
        <v>0</v>
      </c>
    </row>
    <row r="105" spans="1:27" ht="12.75">
      <c r="A105" s="3" t="s">
        <v>1751</v>
      </c>
      <c r="B105" s="3" t="s">
        <v>1669</v>
      </c>
      <c r="C105" s="3" t="s">
        <v>1670</v>
      </c>
      <c r="D105" s="3" t="s">
        <v>1803</v>
      </c>
      <c r="E105" s="3" t="s">
        <v>1589</v>
      </c>
      <c r="F105" s="3" t="s">
        <v>1805</v>
      </c>
      <c r="G105" s="3" t="s">
        <v>1591</v>
      </c>
      <c r="H105" s="3" t="s">
        <v>1592</v>
      </c>
      <c r="I105" s="3" t="s">
        <v>1804</v>
      </c>
      <c r="J105" s="4">
        <v>0</v>
      </c>
      <c r="K105" s="4">
        <v>25</v>
      </c>
      <c r="L105" s="4">
        <v>2</v>
      </c>
      <c r="M105" s="4">
        <v>3</v>
      </c>
      <c r="N105" s="5">
        <v>1260568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f t="shared" si="12"/>
        <v>1260568</v>
      </c>
      <c r="U105" s="5">
        <v>63000</v>
      </c>
      <c r="V105" s="5">
        <v>0</v>
      </c>
      <c r="W105" s="5">
        <v>0</v>
      </c>
      <c r="X105" s="5">
        <v>0</v>
      </c>
      <c r="Y105" s="5">
        <v>1323568</v>
      </c>
      <c r="Z105" s="5">
        <f t="shared" si="11"/>
        <v>1323568</v>
      </c>
      <c r="AA105" s="20">
        <f t="shared" si="13"/>
        <v>0</v>
      </c>
    </row>
    <row r="106" spans="1:27" ht="12.75">
      <c r="A106" s="3" t="s">
        <v>1751</v>
      </c>
      <c r="B106" s="3" t="s">
        <v>1669</v>
      </c>
      <c r="C106" s="3" t="s">
        <v>1670</v>
      </c>
      <c r="D106" s="3" t="s">
        <v>1806</v>
      </c>
      <c r="E106" s="3" t="s">
        <v>1589</v>
      </c>
      <c r="F106" s="3" t="s">
        <v>1808</v>
      </c>
      <c r="G106" s="3" t="s">
        <v>1591</v>
      </c>
      <c r="H106" s="3" t="s">
        <v>1592</v>
      </c>
      <c r="I106" s="3" t="s">
        <v>1807</v>
      </c>
      <c r="J106" s="4">
        <v>0</v>
      </c>
      <c r="K106" s="4">
        <v>15</v>
      </c>
      <c r="L106" s="4">
        <v>1</v>
      </c>
      <c r="M106" s="4">
        <v>1</v>
      </c>
      <c r="N106" s="5">
        <v>745392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f t="shared" si="12"/>
        <v>745392</v>
      </c>
      <c r="U106" s="5">
        <v>38686</v>
      </c>
      <c r="V106" s="5">
        <v>0</v>
      </c>
      <c r="W106" s="5">
        <v>0</v>
      </c>
      <c r="X106" s="5">
        <v>0</v>
      </c>
      <c r="Y106" s="5">
        <v>784078</v>
      </c>
      <c r="Z106" s="5">
        <f t="shared" si="11"/>
        <v>784078</v>
      </c>
      <c r="AA106" s="20">
        <f t="shared" si="13"/>
        <v>0</v>
      </c>
    </row>
    <row r="107" spans="1:27" ht="12.75">
      <c r="A107" s="3" t="s">
        <v>1751</v>
      </c>
      <c r="B107" s="3" t="s">
        <v>1669</v>
      </c>
      <c r="C107" s="3" t="s">
        <v>1670</v>
      </c>
      <c r="D107" s="3" t="s">
        <v>1809</v>
      </c>
      <c r="E107" s="3" t="s">
        <v>1589</v>
      </c>
      <c r="F107" s="3" t="s">
        <v>1811</v>
      </c>
      <c r="G107" s="3" t="s">
        <v>1591</v>
      </c>
      <c r="H107" s="3" t="s">
        <v>1592</v>
      </c>
      <c r="I107" s="3" t="s">
        <v>1810</v>
      </c>
      <c r="J107" s="4">
        <v>0</v>
      </c>
      <c r="K107" s="4">
        <v>16</v>
      </c>
      <c r="L107" s="4">
        <v>2</v>
      </c>
      <c r="M107" s="4">
        <v>1</v>
      </c>
      <c r="N107" s="5">
        <v>767148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f t="shared" si="12"/>
        <v>767148</v>
      </c>
      <c r="U107" s="5">
        <v>71300</v>
      </c>
      <c r="V107" s="5">
        <v>0</v>
      </c>
      <c r="W107" s="5">
        <v>0</v>
      </c>
      <c r="X107" s="5">
        <v>0</v>
      </c>
      <c r="Y107" s="5">
        <v>838448</v>
      </c>
      <c r="Z107" s="5">
        <f t="shared" si="11"/>
        <v>838448</v>
      </c>
      <c r="AA107" s="20">
        <f t="shared" si="13"/>
        <v>0</v>
      </c>
    </row>
    <row r="108" spans="1:27" ht="12.75">
      <c r="A108" s="3" t="s">
        <v>1751</v>
      </c>
      <c r="B108" s="3" t="s">
        <v>1669</v>
      </c>
      <c r="C108" s="3" t="s">
        <v>1670</v>
      </c>
      <c r="D108" s="3" t="s">
        <v>1812</v>
      </c>
      <c r="E108" s="3" t="s">
        <v>1589</v>
      </c>
      <c r="F108" s="3" t="s">
        <v>1814</v>
      </c>
      <c r="G108" s="3" t="s">
        <v>1591</v>
      </c>
      <c r="H108" s="3" t="s">
        <v>1592</v>
      </c>
      <c r="I108" s="3" t="s">
        <v>1813</v>
      </c>
      <c r="J108" s="4">
        <v>0</v>
      </c>
      <c r="K108" s="4">
        <v>6</v>
      </c>
      <c r="L108" s="4">
        <v>1</v>
      </c>
      <c r="M108" s="4">
        <v>0</v>
      </c>
      <c r="N108" s="5">
        <v>294458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f t="shared" si="12"/>
        <v>294458</v>
      </c>
      <c r="U108" s="5">
        <v>11420</v>
      </c>
      <c r="V108" s="5">
        <v>0</v>
      </c>
      <c r="W108" s="5">
        <v>0</v>
      </c>
      <c r="X108" s="5">
        <v>0</v>
      </c>
      <c r="Y108" s="5">
        <v>305878</v>
      </c>
      <c r="Z108" s="5">
        <f t="shared" si="11"/>
        <v>305878</v>
      </c>
      <c r="AA108" s="20">
        <f t="shared" si="13"/>
        <v>0</v>
      </c>
    </row>
    <row r="109" spans="1:27" ht="12.75">
      <c r="A109" s="3" t="s">
        <v>1751</v>
      </c>
      <c r="B109" s="3" t="s">
        <v>1669</v>
      </c>
      <c r="C109" s="3" t="s">
        <v>1670</v>
      </c>
      <c r="D109" s="3" t="s">
        <v>1815</v>
      </c>
      <c r="E109" s="3" t="s">
        <v>1589</v>
      </c>
      <c r="F109" s="3" t="s">
        <v>1817</v>
      </c>
      <c r="G109" s="3" t="s">
        <v>1591</v>
      </c>
      <c r="H109" s="3" t="s">
        <v>1592</v>
      </c>
      <c r="I109" s="3" t="s">
        <v>1816</v>
      </c>
      <c r="J109" s="4">
        <v>0</v>
      </c>
      <c r="K109" s="4">
        <v>17</v>
      </c>
      <c r="L109" s="4">
        <v>4</v>
      </c>
      <c r="M109" s="4">
        <v>0</v>
      </c>
      <c r="N109" s="5">
        <v>893544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f t="shared" si="12"/>
        <v>893544</v>
      </c>
      <c r="U109" s="5">
        <v>96852</v>
      </c>
      <c r="V109" s="5">
        <v>0</v>
      </c>
      <c r="W109" s="5">
        <v>0</v>
      </c>
      <c r="X109" s="5">
        <v>0</v>
      </c>
      <c r="Y109" s="5">
        <v>990396</v>
      </c>
      <c r="Z109" s="5">
        <f t="shared" si="11"/>
        <v>990396</v>
      </c>
      <c r="AA109" s="20">
        <f t="shared" si="13"/>
        <v>0</v>
      </c>
    </row>
    <row r="110" spans="1:27" ht="12.75">
      <c r="A110" s="3" t="s">
        <v>1751</v>
      </c>
      <c r="B110" s="3" t="s">
        <v>1669</v>
      </c>
      <c r="C110" s="3" t="s">
        <v>1670</v>
      </c>
      <c r="D110" s="3" t="s">
        <v>1818</v>
      </c>
      <c r="E110" s="3" t="s">
        <v>1589</v>
      </c>
      <c r="F110" s="3" t="s">
        <v>1820</v>
      </c>
      <c r="G110" s="3" t="s">
        <v>1591</v>
      </c>
      <c r="H110" s="3" t="s">
        <v>1592</v>
      </c>
      <c r="I110" s="3" t="s">
        <v>1819</v>
      </c>
      <c r="J110" s="4">
        <v>0</v>
      </c>
      <c r="K110" s="4">
        <v>9</v>
      </c>
      <c r="L110" s="4">
        <v>1</v>
      </c>
      <c r="M110" s="4">
        <v>0</v>
      </c>
      <c r="N110" s="5">
        <v>461100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f t="shared" si="12"/>
        <v>461100</v>
      </c>
      <c r="U110" s="5">
        <v>24500</v>
      </c>
      <c r="V110" s="5">
        <v>0</v>
      </c>
      <c r="W110" s="5">
        <v>0</v>
      </c>
      <c r="X110" s="5">
        <v>0</v>
      </c>
      <c r="Y110" s="5">
        <v>485600</v>
      </c>
      <c r="Z110" s="5">
        <f t="shared" si="11"/>
        <v>485600</v>
      </c>
      <c r="AA110" s="20">
        <f t="shared" si="13"/>
        <v>0</v>
      </c>
    </row>
    <row r="111" spans="1:27" ht="12.75">
      <c r="A111" s="3" t="s">
        <v>1751</v>
      </c>
      <c r="B111" s="3" t="s">
        <v>1669</v>
      </c>
      <c r="C111" s="3" t="s">
        <v>1670</v>
      </c>
      <c r="D111" s="3" t="s">
        <v>1821</v>
      </c>
      <c r="E111" s="3" t="s">
        <v>1589</v>
      </c>
      <c r="F111" s="3" t="s">
        <v>1823</v>
      </c>
      <c r="G111" s="3" t="s">
        <v>1591</v>
      </c>
      <c r="H111" s="3" t="s">
        <v>1592</v>
      </c>
      <c r="I111" s="3" t="s">
        <v>1822</v>
      </c>
      <c r="J111" s="4">
        <v>0</v>
      </c>
      <c r="K111" s="4">
        <v>0</v>
      </c>
      <c r="L111" s="4">
        <v>0</v>
      </c>
      <c r="M111" s="4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f t="shared" si="12"/>
        <v>0</v>
      </c>
      <c r="U111" s="5">
        <v>8700</v>
      </c>
      <c r="V111" s="5">
        <v>0</v>
      </c>
      <c r="W111" s="5">
        <v>0</v>
      </c>
      <c r="X111" s="5">
        <v>0</v>
      </c>
      <c r="Y111" s="5">
        <v>8700</v>
      </c>
      <c r="Z111" s="5">
        <f t="shared" si="11"/>
        <v>8700</v>
      </c>
      <c r="AA111" s="20">
        <f t="shared" si="13"/>
        <v>0</v>
      </c>
    </row>
    <row r="112" spans="1:27" ht="12.75">
      <c r="A112" s="3" t="s">
        <v>1751</v>
      </c>
      <c r="B112" s="3" t="s">
        <v>1669</v>
      </c>
      <c r="C112" s="3" t="s">
        <v>1670</v>
      </c>
      <c r="D112" s="3" t="s">
        <v>1824</v>
      </c>
      <c r="E112" s="3" t="s">
        <v>1589</v>
      </c>
      <c r="F112" s="3" t="s">
        <v>1826</v>
      </c>
      <c r="G112" s="3" t="s">
        <v>1591</v>
      </c>
      <c r="H112" s="3" t="s">
        <v>1592</v>
      </c>
      <c r="I112" s="3" t="s">
        <v>1825</v>
      </c>
      <c r="J112" s="4">
        <v>0</v>
      </c>
      <c r="K112" s="4">
        <v>15</v>
      </c>
      <c r="L112" s="4">
        <v>3</v>
      </c>
      <c r="M112" s="4">
        <v>0</v>
      </c>
      <c r="N112" s="5">
        <v>815292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f t="shared" si="12"/>
        <v>815292</v>
      </c>
      <c r="U112" s="5">
        <v>53185</v>
      </c>
      <c r="V112" s="5">
        <v>0</v>
      </c>
      <c r="W112" s="5">
        <v>0</v>
      </c>
      <c r="X112" s="5">
        <v>0</v>
      </c>
      <c r="Y112" s="5">
        <v>868477</v>
      </c>
      <c r="Z112" s="5">
        <f t="shared" si="11"/>
        <v>868477</v>
      </c>
      <c r="AA112" s="20">
        <f t="shared" si="13"/>
        <v>0</v>
      </c>
    </row>
    <row r="113" spans="1:27" ht="12.75">
      <c r="A113" s="3" t="s">
        <v>1751</v>
      </c>
      <c r="B113" s="3" t="s">
        <v>1669</v>
      </c>
      <c r="C113" s="3" t="s">
        <v>1670</v>
      </c>
      <c r="D113" s="3" t="s">
        <v>1827</v>
      </c>
      <c r="E113" s="3" t="s">
        <v>1589</v>
      </c>
      <c r="F113" s="3" t="s">
        <v>1829</v>
      </c>
      <c r="G113" s="3" t="s">
        <v>1591</v>
      </c>
      <c r="H113" s="3" t="s">
        <v>1592</v>
      </c>
      <c r="I113" s="3" t="s">
        <v>1828</v>
      </c>
      <c r="J113" s="4">
        <v>0</v>
      </c>
      <c r="K113" s="4">
        <v>11.499</v>
      </c>
      <c r="L113" s="4">
        <v>1</v>
      </c>
      <c r="M113" s="4">
        <v>0</v>
      </c>
      <c r="N113" s="5">
        <v>649704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f t="shared" si="12"/>
        <v>649704</v>
      </c>
      <c r="U113" s="5">
        <v>24500</v>
      </c>
      <c r="V113" s="5">
        <v>0</v>
      </c>
      <c r="W113" s="5">
        <v>0</v>
      </c>
      <c r="X113" s="5">
        <v>0</v>
      </c>
      <c r="Y113" s="5">
        <v>674204</v>
      </c>
      <c r="Z113" s="5">
        <f t="shared" si="11"/>
        <v>674204</v>
      </c>
      <c r="AA113" s="20">
        <f t="shared" si="13"/>
        <v>0</v>
      </c>
    </row>
    <row r="114" spans="1:27" ht="12.75">
      <c r="A114" s="3" t="s">
        <v>1751</v>
      </c>
      <c r="B114" s="3" t="s">
        <v>1669</v>
      </c>
      <c r="C114" s="3" t="s">
        <v>1670</v>
      </c>
      <c r="D114" s="3" t="s">
        <v>1830</v>
      </c>
      <c r="E114" s="3" t="s">
        <v>1589</v>
      </c>
      <c r="F114" s="3" t="s">
        <v>1832</v>
      </c>
      <c r="G114" s="3" t="s">
        <v>1591</v>
      </c>
      <c r="H114" s="3" t="s">
        <v>1592</v>
      </c>
      <c r="I114" s="3" t="s">
        <v>1831</v>
      </c>
      <c r="J114" s="4">
        <v>0</v>
      </c>
      <c r="K114" s="4">
        <v>7.025</v>
      </c>
      <c r="L114" s="4">
        <v>1</v>
      </c>
      <c r="M114" s="4">
        <v>0</v>
      </c>
      <c r="N114" s="5">
        <v>424104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f t="shared" si="12"/>
        <v>424104</v>
      </c>
      <c r="U114" s="5">
        <v>18000</v>
      </c>
      <c r="V114" s="5">
        <v>0</v>
      </c>
      <c r="W114" s="5">
        <v>0</v>
      </c>
      <c r="X114" s="5">
        <v>0</v>
      </c>
      <c r="Y114" s="5">
        <v>442104</v>
      </c>
      <c r="Z114" s="5">
        <f t="shared" si="11"/>
        <v>442104</v>
      </c>
      <c r="AA114" s="20">
        <f t="shared" si="13"/>
        <v>0</v>
      </c>
    </row>
    <row r="115" spans="1:27" ht="12.75">
      <c r="A115" s="3" t="s">
        <v>1751</v>
      </c>
      <c r="B115" s="3" t="s">
        <v>1669</v>
      </c>
      <c r="C115" s="3" t="s">
        <v>1670</v>
      </c>
      <c r="D115" s="3" t="s">
        <v>1833</v>
      </c>
      <c r="E115" s="3" t="s">
        <v>1589</v>
      </c>
      <c r="F115" s="3" t="s">
        <v>1835</v>
      </c>
      <c r="G115" s="3" t="s">
        <v>1591</v>
      </c>
      <c r="H115" s="3" t="s">
        <v>1592</v>
      </c>
      <c r="I115" s="3" t="s">
        <v>1834</v>
      </c>
      <c r="J115" s="4">
        <v>0</v>
      </c>
      <c r="K115" s="4">
        <v>9</v>
      </c>
      <c r="L115" s="4">
        <v>2</v>
      </c>
      <c r="M115" s="4">
        <v>1</v>
      </c>
      <c r="N115" s="5">
        <v>485676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f t="shared" si="12"/>
        <v>485676</v>
      </c>
      <c r="U115" s="5">
        <v>40942</v>
      </c>
      <c r="V115" s="5">
        <v>0</v>
      </c>
      <c r="W115" s="5">
        <v>0</v>
      </c>
      <c r="X115" s="5">
        <v>0</v>
      </c>
      <c r="Y115" s="5">
        <v>526618</v>
      </c>
      <c r="Z115" s="5">
        <f t="shared" si="11"/>
        <v>526618</v>
      </c>
      <c r="AA115" s="20">
        <f t="shared" si="13"/>
        <v>0</v>
      </c>
    </row>
    <row r="116" spans="1:27" ht="12.75">
      <c r="A116" s="3" t="s">
        <v>1751</v>
      </c>
      <c r="B116" s="3" t="s">
        <v>1669</v>
      </c>
      <c r="C116" s="3" t="s">
        <v>1670</v>
      </c>
      <c r="D116" s="3" t="s">
        <v>1836</v>
      </c>
      <c r="E116" s="3" t="s">
        <v>1589</v>
      </c>
      <c r="F116" s="3" t="s">
        <v>1838</v>
      </c>
      <c r="G116" s="3" t="s">
        <v>1591</v>
      </c>
      <c r="H116" s="3" t="s">
        <v>1592</v>
      </c>
      <c r="I116" s="3" t="s">
        <v>1837</v>
      </c>
      <c r="J116" s="4">
        <v>0</v>
      </c>
      <c r="K116" s="4">
        <v>18.341</v>
      </c>
      <c r="L116" s="4">
        <v>4</v>
      </c>
      <c r="M116" s="4">
        <v>1</v>
      </c>
      <c r="N116" s="5">
        <v>1120631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f t="shared" si="12"/>
        <v>1120631</v>
      </c>
      <c r="U116" s="5">
        <v>105445</v>
      </c>
      <c r="V116" s="5">
        <v>0</v>
      </c>
      <c r="W116" s="5">
        <v>0</v>
      </c>
      <c r="X116" s="5">
        <v>0</v>
      </c>
      <c r="Y116" s="5">
        <v>1226076</v>
      </c>
      <c r="Z116" s="5">
        <f t="shared" si="11"/>
        <v>1226076</v>
      </c>
      <c r="AA116" s="20">
        <f t="shared" si="13"/>
        <v>0</v>
      </c>
    </row>
    <row r="117" spans="1:27" ht="12.75">
      <c r="A117" s="3" t="s">
        <v>1751</v>
      </c>
      <c r="B117" s="3" t="s">
        <v>1669</v>
      </c>
      <c r="C117" s="3" t="s">
        <v>1670</v>
      </c>
      <c r="D117" s="3" t="s">
        <v>1839</v>
      </c>
      <c r="E117" s="3" t="s">
        <v>1589</v>
      </c>
      <c r="F117" s="3" t="s">
        <v>1841</v>
      </c>
      <c r="G117" s="3" t="s">
        <v>1591</v>
      </c>
      <c r="H117" s="3" t="s">
        <v>1592</v>
      </c>
      <c r="I117" s="3" t="s">
        <v>1840</v>
      </c>
      <c r="J117" s="4">
        <v>0</v>
      </c>
      <c r="K117" s="4">
        <v>0</v>
      </c>
      <c r="L117" s="4">
        <v>0</v>
      </c>
      <c r="M117" s="4">
        <v>1</v>
      </c>
      <c r="N117" s="5">
        <v>51744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f t="shared" si="12"/>
        <v>51744</v>
      </c>
      <c r="U117" s="5">
        <f>SUM(S117:S117)</f>
        <v>0</v>
      </c>
      <c r="V117" s="5">
        <v>0</v>
      </c>
      <c r="W117" s="5">
        <v>0</v>
      </c>
      <c r="X117" s="5">
        <v>0</v>
      </c>
      <c r="Y117" s="5">
        <v>51744</v>
      </c>
      <c r="Z117" s="5">
        <f t="shared" si="11"/>
        <v>51744</v>
      </c>
      <c r="AA117" s="20">
        <f t="shared" si="13"/>
        <v>0</v>
      </c>
    </row>
    <row r="118" spans="1:27" ht="12.75">
      <c r="A118" s="3" t="s">
        <v>1842</v>
      </c>
      <c r="B118" s="3" t="s">
        <v>1669</v>
      </c>
      <c r="C118" s="3" t="s">
        <v>1670</v>
      </c>
      <c r="D118" s="3" t="s">
        <v>1843</v>
      </c>
      <c r="E118" s="3" t="s">
        <v>1589</v>
      </c>
      <c r="F118" s="3" t="s">
        <v>1845</v>
      </c>
      <c r="G118" s="3" t="s">
        <v>1591</v>
      </c>
      <c r="H118" s="3" t="s">
        <v>1592</v>
      </c>
      <c r="I118" s="3" t="s">
        <v>1844</v>
      </c>
      <c r="J118" s="4">
        <v>0</v>
      </c>
      <c r="K118" s="4">
        <v>1</v>
      </c>
      <c r="L118" s="4">
        <v>1</v>
      </c>
      <c r="M118" s="4">
        <v>0</v>
      </c>
      <c r="N118" s="5">
        <v>90672</v>
      </c>
      <c r="O118" s="5">
        <v>0</v>
      </c>
      <c r="P118" s="5">
        <v>17887</v>
      </c>
      <c r="Q118" s="5">
        <v>63725</v>
      </c>
      <c r="R118" s="5">
        <v>0</v>
      </c>
      <c r="S118" s="5">
        <v>0</v>
      </c>
      <c r="T118" s="5">
        <f t="shared" si="12"/>
        <v>172284</v>
      </c>
      <c r="U118" s="5">
        <v>7250</v>
      </c>
      <c r="V118" s="5">
        <v>0</v>
      </c>
      <c r="W118" s="5">
        <v>0</v>
      </c>
      <c r="X118" s="5">
        <v>0</v>
      </c>
      <c r="Y118" s="5">
        <v>179534</v>
      </c>
      <c r="Z118" s="5">
        <f t="shared" si="11"/>
        <v>179534</v>
      </c>
      <c r="AA118" s="20">
        <f t="shared" si="13"/>
        <v>0</v>
      </c>
    </row>
    <row r="119" spans="1:27" ht="12.75">
      <c r="A119" s="3" t="s">
        <v>1751</v>
      </c>
      <c r="B119" s="3" t="s">
        <v>1669</v>
      </c>
      <c r="C119" s="3" t="s">
        <v>1670</v>
      </c>
      <c r="D119" s="3" t="s">
        <v>1846</v>
      </c>
      <c r="E119" s="3" t="s">
        <v>1589</v>
      </c>
      <c r="F119" s="3" t="s">
        <v>1848</v>
      </c>
      <c r="G119" s="3" t="s">
        <v>1591</v>
      </c>
      <c r="H119" s="3" t="s">
        <v>1592</v>
      </c>
      <c r="I119" s="3" t="s">
        <v>1847</v>
      </c>
      <c r="J119" s="4">
        <v>0</v>
      </c>
      <c r="K119" s="4">
        <v>1.501</v>
      </c>
      <c r="L119" s="4">
        <v>0</v>
      </c>
      <c r="M119" s="4">
        <v>1</v>
      </c>
      <c r="N119" s="5">
        <v>145176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f t="shared" si="12"/>
        <v>145176</v>
      </c>
      <c r="U119" s="5">
        <v>9048</v>
      </c>
      <c r="V119" s="5">
        <v>0</v>
      </c>
      <c r="W119" s="5">
        <v>0</v>
      </c>
      <c r="X119" s="5">
        <v>0</v>
      </c>
      <c r="Y119" s="5">
        <v>154224</v>
      </c>
      <c r="Z119" s="5">
        <f t="shared" si="11"/>
        <v>154224</v>
      </c>
      <c r="AA119" s="20">
        <f t="shared" si="13"/>
        <v>0</v>
      </c>
    </row>
    <row r="120" spans="1:27" ht="13.5" thickBot="1">
      <c r="A120" s="3" t="s">
        <v>1751</v>
      </c>
      <c r="B120" s="3" t="s">
        <v>1669</v>
      </c>
      <c r="C120" s="3" t="s">
        <v>1670</v>
      </c>
      <c r="D120" s="3" t="s">
        <v>1849</v>
      </c>
      <c r="E120" s="21" t="s">
        <v>1589</v>
      </c>
      <c r="F120" s="21" t="s">
        <v>1851</v>
      </c>
      <c r="G120" s="21" t="s">
        <v>1591</v>
      </c>
      <c r="H120" s="21" t="s">
        <v>1592</v>
      </c>
      <c r="I120" s="3" t="s">
        <v>1850</v>
      </c>
      <c r="J120" s="6">
        <v>0</v>
      </c>
      <c r="K120" s="6">
        <v>0.5</v>
      </c>
      <c r="L120" s="6">
        <v>0</v>
      </c>
      <c r="M120" s="6">
        <v>0</v>
      </c>
      <c r="N120" s="7">
        <v>27300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f t="shared" si="12"/>
        <v>27300</v>
      </c>
      <c r="U120" s="7">
        <v>5575</v>
      </c>
      <c r="V120" s="7">
        <v>0</v>
      </c>
      <c r="W120" s="7">
        <v>0</v>
      </c>
      <c r="X120" s="7">
        <v>0</v>
      </c>
      <c r="Y120" s="7">
        <v>32875</v>
      </c>
      <c r="Z120" s="7">
        <f t="shared" si="11"/>
        <v>32875</v>
      </c>
      <c r="AA120" s="20">
        <f t="shared" si="13"/>
        <v>0</v>
      </c>
    </row>
    <row r="121" spans="9:27" ht="12.75">
      <c r="I121" s="3" t="s">
        <v>2924</v>
      </c>
      <c r="J121" s="4">
        <f aca="true" t="shared" si="17" ref="J121:Y121">SUM(J88:J120)</f>
        <v>3</v>
      </c>
      <c r="K121" s="4">
        <f t="shared" si="17"/>
        <v>284.452</v>
      </c>
      <c r="L121" s="4">
        <f t="shared" si="17"/>
        <v>57.675</v>
      </c>
      <c r="M121" s="4">
        <f t="shared" si="17"/>
        <v>46.918</v>
      </c>
      <c r="N121" s="5">
        <f t="shared" si="17"/>
        <v>16737635</v>
      </c>
      <c r="O121" s="5">
        <f t="shared" si="17"/>
        <v>0</v>
      </c>
      <c r="P121" s="5">
        <f t="shared" si="17"/>
        <v>525103</v>
      </c>
      <c r="Q121" s="5">
        <f t="shared" si="17"/>
        <v>1823368</v>
      </c>
      <c r="R121" s="5">
        <f t="shared" si="17"/>
        <v>0</v>
      </c>
      <c r="S121" s="5">
        <f t="shared" si="17"/>
        <v>0</v>
      </c>
      <c r="T121" s="5">
        <f t="shared" si="17"/>
        <v>19086106</v>
      </c>
      <c r="U121" s="5">
        <f t="shared" si="17"/>
        <v>1197929</v>
      </c>
      <c r="V121" s="5">
        <f t="shared" si="17"/>
        <v>0</v>
      </c>
      <c r="W121" s="5">
        <f t="shared" si="17"/>
        <v>0</v>
      </c>
      <c r="X121" s="5">
        <f t="shared" si="17"/>
        <v>0</v>
      </c>
      <c r="Y121" s="5">
        <f t="shared" si="17"/>
        <v>20284035</v>
      </c>
      <c r="Z121" s="5">
        <f t="shared" si="11"/>
        <v>20284035</v>
      </c>
      <c r="AA121" s="20">
        <f t="shared" si="13"/>
        <v>0</v>
      </c>
    </row>
    <row r="122" spans="10:27" ht="12.75">
      <c r="J122" s="4"/>
      <c r="K122" s="4"/>
      <c r="L122" s="4"/>
      <c r="M122" s="4"/>
      <c r="N122" s="5"/>
      <c r="O122" s="5"/>
      <c r="P122" s="5"/>
      <c r="Q122" s="5"/>
      <c r="R122" s="5"/>
      <c r="S122" s="5"/>
      <c r="T122" s="5" t="s">
        <v>2540</v>
      </c>
      <c r="U122" s="5"/>
      <c r="V122" s="5"/>
      <c r="W122" s="5"/>
      <c r="X122" s="5"/>
      <c r="Y122" s="5"/>
      <c r="Z122" s="5" t="s">
        <v>2540</v>
      </c>
      <c r="AA122" s="20" t="s">
        <v>2540</v>
      </c>
    </row>
    <row r="123" spans="9:27" ht="12.75">
      <c r="I123" s="3" t="s">
        <v>137</v>
      </c>
      <c r="J123" s="4"/>
      <c r="K123" s="4"/>
      <c r="L123" s="4"/>
      <c r="M123" s="4"/>
      <c r="N123" s="5"/>
      <c r="O123" s="5"/>
      <c r="P123" s="5"/>
      <c r="Q123" s="5"/>
      <c r="R123" s="5"/>
      <c r="S123" s="5"/>
      <c r="T123" s="5" t="s">
        <v>2540</v>
      </c>
      <c r="U123" s="5"/>
      <c r="V123" s="5"/>
      <c r="W123" s="5"/>
      <c r="X123" s="5"/>
      <c r="Y123" s="5"/>
      <c r="Z123" s="5" t="s">
        <v>2540</v>
      </c>
      <c r="AA123" s="20" t="s">
        <v>2540</v>
      </c>
    </row>
    <row r="124" spans="10:27" ht="12.75">
      <c r="J124" s="4"/>
      <c r="K124" s="4"/>
      <c r="L124" s="4"/>
      <c r="M124" s="4"/>
      <c r="N124" s="5"/>
      <c r="O124" s="5"/>
      <c r="P124" s="5"/>
      <c r="Q124" s="5"/>
      <c r="R124" s="5"/>
      <c r="S124" s="5"/>
      <c r="T124" s="5" t="s">
        <v>2540</v>
      </c>
      <c r="U124" s="5"/>
      <c r="V124" s="5"/>
      <c r="W124" s="5"/>
      <c r="X124" s="5"/>
      <c r="Y124" s="5"/>
      <c r="Z124" s="5" t="s">
        <v>2540</v>
      </c>
      <c r="AA124" s="20" t="s">
        <v>2540</v>
      </c>
    </row>
    <row r="125" spans="1:27" ht="12.75">
      <c r="A125" s="3" t="s">
        <v>1852</v>
      </c>
      <c r="B125" s="3" t="s">
        <v>1669</v>
      </c>
      <c r="C125" s="3" t="s">
        <v>1670</v>
      </c>
      <c r="D125" s="3" t="s">
        <v>1853</v>
      </c>
      <c r="E125" s="3" t="s">
        <v>1589</v>
      </c>
      <c r="F125" s="3" t="s">
        <v>1855</v>
      </c>
      <c r="G125" s="3" t="s">
        <v>1591</v>
      </c>
      <c r="H125" s="3" t="s">
        <v>1592</v>
      </c>
      <c r="I125" s="3" t="s">
        <v>1854</v>
      </c>
      <c r="J125" s="4">
        <v>0</v>
      </c>
      <c r="K125" s="4">
        <v>3</v>
      </c>
      <c r="L125" s="4">
        <v>0</v>
      </c>
      <c r="M125" s="4">
        <v>0</v>
      </c>
      <c r="N125" s="5">
        <v>57738</v>
      </c>
      <c r="O125" s="5">
        <v>0</v>
      </c>
      <c r="P125" s="5">
        <v>30000</v>
      </c>
      <c r="Q125" s="5">
        <v>0</v>
      </c>
      <c r="R125" s="5">
        <v>0</v>
      </c>
      <c r="S125" s="5">
        <v>0</v>
      </c>
      <c r="T125" s="5">
        <f t="shared" si="12"/>
        <v>87738</v>
      </c>
      <c r="U125" s="5">
        <v>95972</v>
      </c>
      <c r="V125" s="5">
        <v>0</v>
      </c>
      <c r="W125" s="5">
        <v>0</v>
      </c>
      <c r="X125" s="5">
        <v>0</v>
      </c>
      <c r="Y125" s="5">
        <v>183710</v>
      </c>
      <c r="Z125" s="5">
        <f t="shared" si="11"/>
        <v>183710</v>
      </c>
      <c r="AA125" s="20">
        <f t="shared" si="13"/>
        <v>0</v>
      </c>
    </row>
    <row r="126" spans="1:27" ht="12.75">
      <c r="A126" s="3" t="s">
        <v>1852</v>
      </c>
      <c r="B126" s="3" t="s">
        <v>1669</v>
      </c>
      <c r="C126" s="3" t="s">
        <v>1670</v>
      </c>
      <c r="D126" s="3" t="s">
        <v>1856</v>
      </c>
      <c r="E126" s="3" t="s">
        <v>1589</v>
      </c>
      <c r="F126" s="3" t="s">
        <v>1858</v>
      </c>
      <c r="G126" s="3" t="s">
        <v>1591</v>
      </c>
      <c r="H126" s="3" t="s">
        <v>1592</v>
      </c>
      <c r="I126" s="3" t="s">
        <v>1857</v>
      </c>
      <c r="J126" s="4">
        <v>0</v>
      </c>
      <c r="K126" s="4">
        <v>0</v>
      </c>
      <c r="L126" s="4">
        <v>0</v>
      </c>
      <c r="M126" s="4">
        <v>0</v>
      </c>
      <c r="N126" s="5">
        <v>0</v>
      </c>
      <c r="O126" s="5">
        <v>0</v>
      </c>
      <c r="P126" s="5">
        <v>54290</v>
      </c>
      <c r="Q126" s="5">
        <v>0</v>
      </c>
      <c r="R126" s="5">
        <v>0</v>
      </c>
      <c r="S126" s="5">
        <v>0</v>
      </c>
      <c r="T126" s="5">
        <f t="shared" si="12"/>
        <v>54290</v>
      </c>
      <c r="U126" s="5">
        <f>SUM(S126:S126)</f>
        <v>0</v>
      </c>
      <c r="V126" s="5">
        <v>0</v>
      </c>
      <c r="W126" s="5">
        <v>0</v>
      </c>
      <c r="X126" s="5">
        <v>0</v>
      </c>
      <c r="Y126" s="5">
        <v>54290</v>
      </c>
      <c r="Z126" s="5">
        <f t="shared" si="11"/>
        <v>54290</v>
      </c>
      <c r="AA126" s="20">
        <f t="shared" si="13"/>
        <v>0</v>
      </c>
    </row>
    <row r="127" spans="1:27" ht="12.75">
      <c r="A127" s="3" t="s">
        <v>1852</v>
      </c>
      <c r="B127" s="3" t="s">
        <v>1669</v>
      </c>
      <c r="C127" s="3" t="s">
        <v>1670</v>
      </c>
      <c r="D127" s="3" t="s">
        <v>1859</v>
      </c>
      <c r="E127" s="3" t="s">
        <v>1589</v>
      </c>
      <c r="F127" s="3" t="s">
        <v>1861</v>
      </c>
      <c r="G127" s="3" t="s">
        <v>1591</v>
      </c>
      <c r="H127" s="3" t="s">
        <v>1592</v>
      </c>
      <c r="I127" s="3" t="s">
        <v>2348</v>
      </c>
      <c r="J127" s="4">
        <v>0</v>
      </c>
      <c r="K127" s="4">
        <v>0</v>
      </c>
      <c r="L127" s="4">
        <v>1</v>
      </c>
      <c r="M127" s="4">
        <v>0</v>
      </c>
      <c r="N127" s="5">
        <v>21912</v>
      </c>
      <c r="O127" s="5">
        <v>0</v>
      </c>
      <c r="P127" s="5">
        <v>0</v>
      </c>
      <c r="Q127" s="5">
        <v>108337.5</v>
      </c>
      <c r="R127" s="5">
        <v>0</v>
      </c>
      <c r="S127" s="5">
        <v>0</v>
      </c>
      <c r="T127" s="5">
        <f t="shared" si="12"/>
        <v>130249.5</v>
      </c>
      <c r="U127" s="5">
        <v>8000</v>
      </c>
      <c r="V127" s="5">
        <v>0</v>
      </c>
      <c r="W127" s="5">
        <v>0</v>
      </c>
      <c r="X127" s="5">
        <v>0</v>
      </c>
      <c r="Y127" s="5">
        <v>138249.5</v>
      </c>
      <c r="Z127" s="5">
        <f t="shared" si="11"/>
        <v>138249.5</v>
      </c>
      <c r="AA127" s="20">
        <f t="shared" si="13"/>
        <v>0</v>
      </c>
    </row>
    <row r="128" spans="1:27" ht="12.75">
      <c r="A128" s="3" t="s">
        <v>1852</v>
      </c>
      <c r="B128" s="3" t="s">
        <v>1669</v>
      </c>
      <c r="C128" s="3" t="s">
        <v>1670</v>
      </c>
      <c r="D128" s="3" t="s">
        <v>1862</v>
      </c>
      <c r="E128" s="3" t="s">
        <v>1589</v>
      </c>
      <c r="F128" s="3" t="s">
        <v>1864</v>
      </c>
      <c r="G128" s="3" t="s">
        <v>1591</v>
      </c>
      <c r="H128" s="3" t="s">
        <v>1592</v>
      </c>
      <c r="I128" s="3" t="s">
        <v>1863</v>
      </c>
      <c r="J128" s="4">
        <v>0</v>
      </c>
      <c r="K128" s="4">
        <v>8</v>
      </c>
      <c r="L128" s="4">
        <v>1</v>
      </c>
      <c r="M128" s="4">
        <v>2</v>
      </c>
      <c r="N128" s="5">
        <v>640272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f t="shared" si="12"/>
        <v>640272</v>
      </c>
      <c r="U128" s="5">
        <v>21511</v>
      </c>
      <c r="V128" s="5">
        <v>0</v>
      </c>
      <c r="W128" s="5">
        <v>0</v>
      </c>
      <c r="X128" s="5">
        <v>0</v>
      </c>
      <c r="Y128" s="5">
        <v>661783</v>
      </c>
      <c r="Z128" s="5">
        <f t="shared" si="11"/>
        <v>661783</v>
      </c>
      <c r="AA128" s="20">
        <f t="shared" si="13"/>
        <v>0</v>
      </c>
    </row>
    <row r="129" spans="1:27" ht="12.75">
      <c r="A129" s="3" t="s">
        <v>1852</v>
      </c>
      <c r="B129" s="3" t="s">
        <v>1669</v>
      </c>
      <c r="C129" s="3" t="s">
        <v>1670</v>
      </c>
      <c r="D129" s="3" t="s">
        <v>1865</v>
      </c>
      <c r="E129" s="3" t="s">
        <v>1589</v>
      </c>
      <c r="F129" s="3" t="s">
        <v>1867</v>
      </c>
      <c r="G129" s="3" t="s">
        <v>1591</v>
      </c>
      <c r="H129" s="3" t="s">
        <v>1592</v>
      </c>
      <c r="I129" s="3" t="s">
        <v>1866</v>
      </c>
      <c r="J129" s="4">
        <v>0</v>
      </c>
      <c r="K129" s="4">
        <v>15.847999999999999</v>
      </c>
      <c r="L129" s="4">
        <v>3</v>
      </c>
      <c r="M129" s="4">
        <v>2</v>
      </c>
      <c r="N129" s="5">
        <v>1198188</v>
      </c>
      <c r="O129" s="5">
        <v>0</v>
      </c>
      <c r="P129" s="5">
        <v>17962</v>
      </c>
      <c r="Q129" s="5">
        <v>0</v>
      </c>
      <c r="R129" s="5">
        <v>0</v>
      </c>
      <c r="S129" s="5">
        <v>0</v>
      </c>
      <c r="T129" s="5">
        <f t="shared" si="12"/>
        <v>1216150</v>
      </c>
      <c r="U129" s="5">
        <v>35315</v>
      </c>
      <c r="V129" s="5">
        <v>0</v>
      </c>
      <c r="W129" s="5">
        <v>0</v>
      </c>
      <c r="X129" s="5">
        <v>0</v>
      </c>
      <c r="Y129" s="5">
        <v>1251465</v>
      </c>
      <c r="Z129" s="5">
        <f t="shared" si="11"/>
        <v>1251465</v>
      </c>
      <c r="AA129" s="20">
        <f t="shared" si="13"/>
        <v>0</v>
      </c>
    </row>
    <row r="130" spans="1:28" ht="12.75">
      <c r="A130" s="3" t="s">
        <v>1852</v>
      </c>
      <c r="B130" s="3" t="s">
        <v>1669</v>
      </c>
      <c r="C130" s="3" t="s">
        <v>1670</v>
      </c>
      <c r="D130" s="3" t="s">
        <v>1868</v>
      </c>
      <c r="E130" s="21" t="s">
        <v>1589</v>
      </c>
      <c r="F130" s="21" t="s">
        <v>1870</v>
      </c>
      <c r="G130" s="21" t="s">
        <v>1591</v>
      </c>
      <c r="H130" s="21" t="s">
        <v>1592</v>
      </c>
      <c r="I130" s="3" t="s">
        <v>1869</v>
      </c>
      <c r="J130" s="16">
        <v>0</v>
      </c>
      <c r="K130" s="16">
        <v>17.318</v>
      </c>
      <c r="L130" s="16">
        <v>3.5</v>
      </c>
      <c r="M130" s="16">
        <v>0</v>
      </c>
      <c r="N130" s="12">
        <v>1234782</v>
      </c>
      <c r="O130" s="12">
        <v>0</v>
      </c>
      <c r="P130" s="12">
        <v>3783</v>
      </c>
      <c r="Q130" s="12">
        <v>82336.5</v>
      </c>
      <c r="R130" s="12">
        <v>0</v>
      </c>
      <c r="S130" s="12">
        <v>0</v>
      </c>
      <c r="T130" s="5">
        <f t="shared" si="12"/>
        <v>1320901.5</v>
      </c>
      <c r="U130" s="12">
        <v>37166</v>
      </c>
      <c r="V130" s="12">
        <v>0</v>
      </c>
      <c r="W130" s="12">
        <v>0</v>
      </c>
      <c r="X130" s="12">
        <v>0</v>
      </c>
      <c r="Y130" s="12">
        <v>1358067.5</v>
      </c>
      <c r="Z130" s="5">
        <f t="shared" si="11"/>
        <v>1358067.5</v>
      </c>
      <c r="AA130" s="20">
        <f t="shared" si="13"/>
        <v>0</v>
      </c>
      <c r="AB130" s="21"/>
    </row>
    <row r="131" spans="1:27" ht="13.5" thickBot="1">
      <c r="A131" s="3" t="s">
        <v>1852</v>
      </c>
      <c r="B131" s="3" t="s">
        <v>1669</v>
      </c>
      <c r="C131" s="3" t="s">
        <v>1670</v>
      </c>
      <c r="D131" s="3" t="s">
        <v>1987</v>
      </c>
      <c r="E131" s="21" t="s">
        <v>1589</v>
      </c>
      <c r="F131" s="21" t="s">
        <v>1989</v>
      </c>
      <c r="G131" s="21" t="s">
        <v>1591</v>
      </c>
      <c r="H131" s="21" t="s">
        <v>1592</v>
      </c>
      <c r="I131" s="3" t="s">
        <v>2349</v>
      </c>
      <c r="J131" s="6">
        <v>1</v>
      </c>
      <c r="K131" s="6">
        <v>0</v>
      </c>
      <c r="L131" s="6">
        <v>1</v>
      </c>
      <c r="M131" s="6">
        <v>0</v>
      </c>
      <c r="N131" s="7">
        <v>60912</v>
      </c>
      <c r="O131" s="7">
        <v>0</v>
      </c>
      <c r="P131" s="7">
        <v>500</v>
      </c>
      <c r="Q131" s="7">
        <v>0</v>
      </c>
      <c r="R131" s="7">
        <v>0</v>
      </c>
      <c r="S131" s="7">
        <v>0</v>
      </c>
      <c r="T131" s="7">
        <f t="shared" si="12"/>
        <v>61412</v>
      </c>
      <c r="U131" s="7">
        <v>5996</v>
      </c>
      <c r="V131" s="7">
        <v>0</v>
      </c>
      <c r="W131" s="7">
        <v>0</v>
      </c>
      <c r="X131" s="7">
        <v>0</v>
      </c>
      <c r="Y131" s="7">
        <v>67408</v>
      </c>
      <c r="Z131" s="7">
        <f t="shared" si="11"/>
        <v>67408</v>
      </c>
      <c r="AA131" s="20">
        <f t="shared" si="13"/>
        <v>0</v>
      </c>
    </row>
    <row r="132" spans="9:27" ht="12.75">
      <c r="I132" s="3" t="s">
        <v>138</v>
      </c>
      <c r="J132" s="4">
        <f aca="true" t="shared" si="18" ref="J132:Y132">SUM(J125:J131)</f>
        <v>1</v>
      </c>
      <c r="K132" s="4">
        <f t="shared" si="18"/>
        <v>44.166</v>
      </c>
      <c r="L132" s="4">
        <f t="shared" si="18"/>
        <v>9.5</v>
      </c>
      <c r="M132" s="4">
        <f t="shared" si="18"/>
        <v>4</v>
      </c>
      <c r="N132" s="5">
        <f t="shared" si="18"/>
        <v>3213804</v>
      </c>
      <c r="O132" s="5">
        <f t="shared" si="18"/>
        <v>0</v>
      </c>
      <c r="P132" s="5">
        <f t="shared" si="18"/>
        <v>106535</v>
      </c>
      <c r="Q132" s="5">
        <f t="shared" si="18"/>
        <v>190674</v>
      </c>
      <c r="R132" s="5">
        <f t="shared" si="18"/>
        <v>0</v>
      </c>
      <c r="S132" s="5">
        <f t="shared" si="18"/>
        <v>0</v>
      </c>
      <c r="T132" s="5">
        <f t="shared" si="18"/>
        <v>3511013</v>
      </c>
      <c r="U132" s="5">
        <f t="shared" si="18"/>
        <v>203960</v>
      </c>
      <c r="V132" s="5">
        <f t="shared" si="18"/>
        <v>0</v>
      </c>
      <c r="W132" s="5">
        <f t="shared" si="18"/>
        <v>0</v>
      </c>
      <c r="X132" s="5">
        <f t="shared" si="18"/>
        <v>0</v>
      </c>
      <c r="Y132" s="5">
        <f t="shared" si="18"/>
        <v>3714973</v>
      </c>
      <c r="Z132" s="5">
        <f t="shared" si="11"/>
        <v>3714973</v>
      </c>
      <c r="AA132" s="20">
        <f t="shared" si="13"/>
        <v>0</v>
      </c>
    </row>
    <row r="133" spans="10:27" ht="12.75">
      <c r="J133" s="4"/>
      <c r="K133" s="4"/>
      <c r="L133" s="4"/>
      <c r="M133" s="4"/>
      <c r="N133" s="5"/>
      <c r="O133" s="5"/>
      <c r="P133" s="5"/>
      <c r="Q133" s="5"/>
      <c r="R133" s="5"/>
      <c r="S133" s="5"/>
      <c r="T133" s="5" t="s">
        <v>2540</v>
      </c>
      <c r="U133" s="5"/>
      <c r="V133" s="5"/>
      <c r="W133" s="5"/>
      <c r="X133" s="5"/>
      <c r="Y133" s="5"/>
      <c r="Z133" s="5" t="s">
        <v>2540</v>
      </c>
      <c r="AA133" s="20" t="s">
        <v>2540</v>
      </c>
    </row>
    <row r="134" spans="9:27" ht="12.75">
      <c r="I134" s="3" t="s">
        <v>139</v>
      </c>
      <c r="J134" s="4"/>
      <c r="K134" s="4"/>
      <c r="L134" s="4"/>
      <c r="M134" s="4"/>
      <c r="N134" s="5"/>
      <c r="O134" s="5"/>
      <c r="P134" s="5"/>
      <c r="Q134" s="5"/>
      <c r="R134" s="5"/>
      <c r="S134" s="5"/>
      <c r="T134" s="5" t="s">
        <v>2540</v>
      </c>
      <c r="U134" s="5"/>
      <c r="V134" s="5"/>
      <c r="W134" s="5"/>
      <c r="X134" s="5"/>
      <c r="Y134" s="5"/>
      <c r="Z134" s="5" t="s">
        <v>2540</v>
      </c>
      <c r="AA134" s="20" t="s">
        <v>2540</v>
      </c>
    </row>
    <row r="135" spans="10:27" ht="12.75">
      <c r="J135" s="4"/>
      <c r="K135" s="4"/>
      <c r="L135" s="4"/>
      <c r="M135" s="4"/>
      <c r="N135" s="5"/>
      <c r="O135" s="5"/>
      <c r="P135" s="5"/>
      <c r="Q135" s="5"/>
      <c r="R135" s="5"/>
      <c r="S135" s="5"/>
      <c r="T135" s="5" t="s">
        <v>2540</v>
      </c>
      <c r="U135" s="5"/>
      <c r="V135" s="5"/>
      <c r="W135" s="5"/>
      <c r="X135" s="5"/>
      <c r="Y135" s="5"/>
      <c r="Z135" s="5" t="s">
        <v>2540</v>
      </c>
      <c r="AA135" s="20" t="s">
        <v>2540</v>
      </c>
    </row>
    <row r="136" spans="1:27" ht="12.75">
      <c r="A136" s="3" t="s">
        <v>1871</v>
      </c>
      <c r="B136" s="3" t="s">
        <v>1669</v>
      </c>
      <c r="C136" s="3" t="s">
        <v>1670</v>
      </c>
      <c r="D136" s="3" t="s">
        <v>1872</v>
      </c>
      <c r="E136" s="3" t="s">
        <v>1589</v>
      </c>
      <c r="F136" s="3" t="s">
        <v>1874</v>
      </c>
      <c r="G136" s="3" t="s">
        <v>1591</v>
      </c>
      <c r="H136" s="3" t="s">
        <v>1592</v>
      </c>
      <c r="I136" s="3" t="s">
        <v>1873</v>
      </c>
      <c r="J136" s="4">
        <v>0</v>
      </c>
      <c r="K136" s="4">
        <v>4</v>
      </c>
      <c r="L136" s="4">
        <v>1</v>
      </c>
      <c r="M136" s="4">
        <v>11</v>
      </c>
      <c r="N136" s="5">
        <v>265898</v>
      </c>
      <c r="O136" s="5">
        <v>0</v>
      </c>
      <c r="P136" s="5">
        <v>32191</v>
      </c>
      <c r="Q136" s="5">
        <v>0</v>
      </c>
      <c r="R136" s="5">
        <v>0</v>
      </c>
      <c r="S136" s="5">
        <v>0</v>
      </c>
      <c r="T136" s="5">
        <f t="shared" si="12"/>
        <v>298089</v>
      </c>
      <c r="U136" s="5">
        <v>77712</v>
      </c>
      <c r="V136" s="5">
        <v>0</v>
      </c>
      <c r="W136" s="5">
        <v>0</v>
      </c>
      <c r="X136" s="5">
        <v>4000</v>
      </c>
      <c r="Y136" s="5">
        <v>379801</v>
      </c>
      <c r="Z136" s="5">
        <f t="shared" si="11"/>
        <v>379801</v>
      </c>
      <c r="AA136" s="20">
        <f t="shared" si="13"/>
        <v>0</v>
      </c>
    </row>
    <row r="137" spans="1:27" ht="12.75">
      <c r="A137" s="3" t="s">
        <v>1871</v>
      </c>
      <c r="B137" s="3" t="s">
        <v>1669</v>
      </c>
      <c r="C137" s="3" t="s">
        <v>1670</v>
      </c>
      <c r="D137" s="3" t="s">
        <v>1875</v>
      </c>
      <c r="E137" s="3" t="s">
        <v>1589</v>
      </c>
      <c r="F137" s="3" t="s">
        <v>1877</v>
      </c>
      <c r="G137" s="3" t="s">
        <v>1591</v>
      </c>
      <c r="H137" s="3" t="s">
        <v>1592</v>
      </c>
      <c r="I137" s="3" t="s">
        <v>1876</v>
      </c>
      <c r="J137" s="4">
        <v>0</v>
      </c>
      <c r="K137" s="4">
        <v>0</v>
      </c>
      <c r="L137" s="4">
        <v>0</v>
      </c>
      <c r="M137" s="4">
        <v>0</v>
      </c>
      <c r="N137" s="5">
        <v>0</v>
      </c>
      <c r="O137" s="5">
        <v>0</v>
      </c>
      <c r="P137" s="5">
        <v>136800</v>
      </c>
      <c r="Q137" s="5">
        <v>0</v>
      </c>
      <c r="R137" s="5">
        <v>0</v>
      </c>
      <c r="S137" s="5">
        <v>0</v>
      </c>
      <c r="T137" s="5">
        <f t="shared" si="12"/>
        <v>136800</v>
      </c>
      <c r="U137" s="5">
        <f>SUM(S137:S137)</f>
        <v>0</v>
      </c>
      <c r="V137" s="5">
        <v>0</v>
      </c>
      <c r="W137" s="5">
        <v>0</v>
      </c>
      <c r="X137" s="5">
        <v>0</v>
      </c>
      <c r="Y137" s="5">
        <v>136800</v>
      </c>
      <c r="Z137" s="5">
        <f t="shared" si="11"/>
        <v>136800</v>
      </c>
      <c r="AA137" s="20">
        <f t="shared" si="13"/>
        <v>0</v>
      </c>
    </row>
    <row r="138" spans="1:27" ht="12.75">
      <c r="A138" s="3" t="s">
        <v>1871</v>
      </c>
      <c r="B138" s="3" t="s">
        <v>1669</v>
      </c>
      <c r="C138" s="3" t="s">
        <v>1670</v>
      </c>
      <c r="D138" s="3" t="s">
        <v>1878</v>
      </c>
      <c r="E138" s="3" t="s">
        <v>1589</v>
      </c>
      <c r="F138" s="3" t="s">
        <v>1880</v>
      </c>
      <c r="G138" s="3" t="s">
        <v>1591</v>
      </c>
      <c r="H138" s="3" t="s">
        <v>1592</v>
      </c>
      <c r="I138" s="3" t="s">
        <v>1879</v>
      </c>
      <c r="J138" s="4">
        <v>1</v>
      </c>
      <c r="K138" s="4">
        <v>0</v>
      </c>
      <c r="L138" s="4">
        <v>0</v>
      </c>
      <c r="M138" s="4">
        <v>0</v>
      </c>
      <c r="N138" s="5">
        <v>51612</v>
      </c>
      <c r="O138" s="5">
        <v>0</v>
      </c>
      <c r="P138" s="5">
        <v>360</v>
      </c>
      <c r="Q138" s="5">
        <v>0</v>
      </c>
      <c r="R138" s="5">
        <v>0</v>
      </c>
      <c r="S138" s="5">
        <v>0</v>
      </c>
      <c r="T138" s="5">
        <f aca="true" t="shared" si="19" ref="T138:T201">SUM(N138:R138)</f>
        <v>51972</v>
      </c>
      <c r="U138" s="5">
        <f>SUM(S138:S138)</f>
        <v>0</v>
      </c>
      <c r="V138" s="5">
        <v>0</v>
      </c>
      <c r="W138" s="5">
        <v>0</v>
      </c>
      <c r="X138" s="5">
        <v>0</v>
      </c>
      <c r="Y138" s="5">
        <v>51972</v>
      </c>
      <c r="Z138" s="5">
        <f aca="true" t="shared" si="20" ref="Z138:Z203">SUM(T138:X138)</f>
        <v>51972</v>
      </c>
      <c r="AA138" s="20">
        <f t="shared" si="13"/>
        <v>0</v>
      </c>
    </row>
    <row r="139" spans="1:27" ht="12.75">
      <c r="A139" s="3" t="s">
        <v>1871</v>
      </c>
      <c r="B139" s="3" t="s">
        <v>1669</v>
      </c>
      <c r="C139" s="3" t="s">
        <v>1670</v>
      </c>
      <c r="D139" s="3" t="s">
        <v>1881</v>
      </c>
      <c r="E139" s="3" t="s">
        <v>1589</v>
      </c>
      <c r="F139" s="3" t="s">
        <v>1883</v>
      </c>
      <c r="G139" s="3" t="s">
        <v>1591</v>
      </c>
      <c r="H139" s="3" t="s">
        <v>1592</v>
      </c>
      <c r="I139" s="3" t="s">
        <v>1882</v>
      </c>
      <c r="J139" s="4">
        <v>0</v>
      </c>
      <c r="K139" s="4">
        <v>0</v>
      </c>
      <c r="L139" s="4">
        <v>1</v>
      </c>
      <c r="M139" s="4">
        <v>0</v>
      </c>
      <c r="N139" s="5">
        <v>23700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f t="shared" si="19"/>
        <v>23700</v>
      </c>
      <c r="U139" s="5">
        <v>8562</v>
      </c>
      <c r="V139" s="5">
        <v>0</v>
      </c>
      <c r="W139" s="5">
        <v>0</v>
      </c>
      <c r="X139" s="5">
        <v>0</v>
      </c>
      <c r="Y139" s="5">
        <v>32262</v>
      </c>
      <c r="Z139" s="5">
        <f t="shared" si="20"/>
        <v>32262</v>
      </c>
      <c r="AA139" s="20">
        <f aca="true" t="shared" si="21" ref="AA139:AA202">+Y139-Z139</f>
        <v>0</v>
      </c>
    </row>
    <row r="140" spans="1:27" ht="12.75">
      <c r="A140" s="3" t="s">
        <v>1871</v>
      </c>
      <c r="B140" s="3" t="s">
        <v>1669</v>
      </c>
      <c r="C140" s="3" t="s">
        <v>1670</v>
      </c>
      <c r="D140" s="3" t="s">
        <v>1884</v>
      </c>
      <c r="E140" s="3" t="s">
        <v>1589</v>
      </c>
      <c r="F140" s="3" t="s">
        <v>1886</v>
      </c>
      <c r="G140" s="3" t="s">
        <v>1591</v>
      </c>
      <c r="H140" s="3" t="s">
        <v>1592</v>
      </c>
      <c r="I140" s="3" t="s">
        <v>1885</v>
      </c>
      <c r="J140" s="4">
        <v>0</v>
      </c>
      <c r="K140" s="4">
        <v>1</v>
      </c>
      <c r="L140" s="4">
        <v>3</v>
      </c>
      <c r="M140" s="4">
        <v>1</v>
      </c>
      <c r="N140" s="5">
        <v>171288</v>
      </c>
      <c r="O140" s="5">
        <v>0</v>
      </c>
      <c r="P140" s="5">
        <v>0</v>
      </c>
      <c r="Q140" s="5">
        <v>17334</v>
      </c>
      <c r="R140" s="5">
        <v>0</v>
      </c>
      <c r="S140" s="5">
        <v>0</v>
      </c>
      <c r="T140" s="5">
        <f t="shared" si="19"/>
        <v>188622</v>
      </c>
      <c r="U140" s="5">
        <v>19507</v>
      </c>
      <c r="V140" s="5">
        <v>0</v>
      </c>
      <c r="W140" s="5">
        <v>0</v>
      </c>
      <c r="X140" s="5">
        <v>0</v>
      </c>
      <c r="Y140" s="5">
        <v>208129</v>
      </c>
      <c r="Z140" s="5">
        <f t="shared" si="20"/>
        <v>208129</v>
      </c>
      <c r="AA140" s="20">
        <f t="shared" si="21"/>
        <v>0</v>
      </c>
    </row>
    <row r="141" spans="1:27" ht="12.75">
      <c r="A141" s="3" t="s">
        <v>1871</v>
      </c>
      <c r="B141" s="3" t="s">
        <v>1669</v>
      </c>
      <c r="C141" s="3" t="s">
        <v>1670</v>
      </c>
      <c r="D141" s="3" t="s">
        <v>1887</v>
      </c>
      <c r="E141" s="3" t="s">
        <v>1589</v>
      </c>
      <c r="F141" s="3" t="s">
        <v>1889</v>
      </c>
      <c r="G141" s="3" t="s">
        <v>1591</v>
      </c>
      <c r="H141" s="3" t="s">
        <v>1592</v>
      </c>
      <c r="I141" s="3" t="s">
        <v>2927</v>
      </c>
      <c r="J141" s="4">
        <v>0</v>
      </c>
      <c r="K141" s="4">
        <v>3</v>
      </c>
      <c r="L141" s="4">
        <v>1</v>
      </c>
      <c r="M141" s="4">
        <v>2</v>
      </c>
      <c r="N141" s="5">
        <v>225636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f t="shared" si="19"/>
        <v>225636</v>
      </c>
      <c r="U141" s="5">
        <v>19365</v>
      </c>
      <c r="V141" s="5">
        <v>0</v>
      </c>
      <c r="W141" s="5">
        <v>0</v>
      </c>
      <c r="X141" s="5">
        <v>0</v>
      </c>
      <c r="Y141" s="5">
        <v>245001</v>
      </c>
      <c r="Z141" s="5">
        <f t="shared" si="20"/>
        <v>245001</v>
      </c>
      <c r="AA141" s="20">
        <f t="shared" si="21"/>
        <v>0</v>
      </c>
    </row>
    <row r="142" spans="1:27" ht="12.75">
      <c r="A142" s="3" t="s">
        <v>1871</v>
      </c>
      <c r="B142" s="3" t="s">
        <v>1669</v>
      </c>
      <c r="C142" s="3" t="s">
        <v>1670</v>
      </c>
      <c r="D142" s="3" t="s">
        <v>1890</v>
      </c>
      <c r="E142" s="3" t="s">
        <v>3095</v>
      </c>
      <c r="F142" s="19">
        <v>16461</v>
      </c>
      <c r="G142" s="3" t="s">
        <v>1591</v>
      </c>
      <c r="H142" s="3" t="s">
        <v>1592</v>
      </c>
      <c r="I142" s="3" t="s">
        <v>2143</v>
      </c>
      <c r="J142" s="4">
        <v>0</v>
      </c>
      <c r="K142" s="4">
        <v>5</v>
      </c>
      <c r="L142" s="4">
        <v>1</v>
      </c>
      <c r="M142" s="4">
        <v>0</v>
      </c>
      <c r="N142" s="5">
        <v>245470</v>
      </c>
      <c r="O142" s="5">
        <v>0</v>
      </c>
      <c r="P142" s="5">
        <v>0</v>
      </c>
      <c r="Q142" s="5">
        <v>34668</v>
      </c>
      <c r="R142" s="5">
        <v>0</v>
      </c>
      <c r="S142" s="5">
        <v>0</v>
      </c>
      <c r="T142" s="5">
        <f t="shared" si="19"/>
        <v>280138</v>
      </c>
      <c r="U142" s="5">
        <v>9794</v>
      </c>
      <c r="V142" s="5">
        <v>0</v>
      </c>
      <c r="W142" s="5">
        <v>0</v>
      </c>
      <c r="X142" s="5">
        <v>0</v>
      </c>
      <c r="Y142" s="5">
        <v>289932</v>
      </c>
      <c r="Z142" s="5">
        <f t="shared" si="20"/>
        <v>289932</v>
      </c>
      <c r="AA142" s="20">
        <f t="shared" si="21"/>
        <v>0</v>
      </c>
    </row>
    <row r="143" spans="1:27" ht="12.75">
      <c r="A143" s="3" t="s">
        <v>1871</v>
      </c>
      <c r="B143" s="3" t="s">
        <v>1669</v>
      </c>
      <c r="C143" s="3" t="s">
        <v>1670</v>
      </c>
      <c r="D143" s="3" t="s">
        <v>1892</v>
      </c>
      <c r="E143" s="3" t="s">
        <v>3096</v>
      </c>
      <c r="F143" s="19">
        <v>16462</v>
      </c>
      <c r="G143" s="3" t="s">
        <v>1591</v>
      </c>
      <c r="H143" s="3" t="s">
        <v>1592</v>
      </c>
      <c r="I143" s="3" t="s">
        <v>2087</v>
      </c>
      <c r="J143" s="4">
        <v>0</v>
      </c>
      <c r="K143" s="4">
        <v>4</v>
      </c>
      <c r="L143" s="4">
        <v>1</v>
      </c>
      <c r="M143" s="4">
        <v>0</v>
      </c>
      <c r="N143" s="5">
        <v>224556</v>
      </c>
      <c r="O143" s="5">
        <v>0</v>
      </c>
      <c r="P143" s="5">
        <v>0</v>
      </c>
      <c r="Q143" s="5">
        <v>8667</v>
      </c>
      <c r="R143" s="5">
        <v>0</v>
      </c>
      <c r="S143" s="5">
        <v>0</v>
      </c>
      <c r="T143" s="5">
        <f t="shared" si="19"/>
        <v>233223</v>
      </c>
      <c r="U143" s="5">
        <v>10466</v>
      </c>
      <c r="V143" s="5">
        <v>0</v>
      </c>
      <c r="W143" s="5">
        <v>0</v>
      </c>
      <c r="X143" s="5">
        <v>0</v>
      </c>
      <c r="Y143" s="5">
        <v>243689</v>
      </c>
      <c r="Z143" s="5">
        <f t="shared" si="20"/>
        <v>243689</v>
      </c>
      <c r="AA143" s="20">
        <f t="shared" si="21"/>
        <v>0</v>
      </c>
    </row>
    <row r="144" spans="1:27" ht="12.75">
      <c r="A144" s="3" t="s">
        <v>1871</v>
      </c>
      <c r="B144" s="3" t="s">
        <v>1669</v>
      </c>
      <c r="C144" s="3" t="s">
        <v>1670</v>
      </c>
      <c r="D144" s="3" t="s">
        <v>1894</v>
      </c>
      <c r="E144" s="3" t="s">
        <v>3097</v>
      </c>
      <c r="F144" s="19">
        <v>16433</v>
      </c>
      <c r="G144" s="3" t="s">
        <v>1591</v>
      </c>
      <c r="H144" s="3" t="s">
        <v>1592</v>
      </c>
      <c r="I144" s="3" t="s">
        <v>2088</v>
      </c>
      <c r="J144" s="4">
        <v>0</v>
      </c>
      <c r="K144" s="4">
        <v>7</v>
      </c>
      <c r="L144" s="4">
        <v>1</v>
      </c>
      <c r="M144" s="4">
        <v>0</v>
      </c>
      <c r="N144" s="5">
        <v>341004</v>
      </c>
      <c r="O144" s="5">
        <v>0</v>
      </c>
      <c r="P144" s="5">
        <v>0</v>
      </c>
      <c r="Q144" s="5">
        <v>34668</v>
      </c>
      <c r="R144" s="5">
        <v>0</v>
      </c>
      <c r="S144" s="5">
        <v>0</v>
      </c>
      <c r="T144" s="5">
        <f t="shared" si="19"/>
        <v>375672</v>
      </c>
      <c r="U144" s="5">
        <v>12456</v>
      </c>
      <c r="V144" s="5">
        <v>0</v>
      </c>
      <c r="W144" s="5">
        <v>0</v>
      </c>
      <c r="X144" s="5">
        <v>0</v>
      </c>
      <c r="Y144" s="5">
        <v>388128</v>
      </c>
      <c r="Z144" s="5">
        <f t="shared" si="20"/>
        <v>388128</v>
      </c>
      <c r="AA144" s="20">
        <f t="shared" si="21"/>
        <v>0</v>
      </c>
    </row>
    <row r="145" spans="1:27" ht="12.75">
      <c r="A145" s="3" t="s">
        <v>1871</v>
      </c>
      <c r="B145" s="3" t="s">
        <v>1669</v>
      </c>
      <c r="C145" s="3" t="s">
        <v>1670</v>
      </c>
      <c r="D145" s="3" t="s">
        <v>1896</v>
      </c>
      <c r="E145" s="3" t="s">
        <v>3098</v>
      </c>
      <c r="F145" s="19">
        <v>16434</v>
      </c>
      <c r="G145" s="3" t="s">
        <v>1591</v>
      </c>
      <c r="H145" s="3" t="s">
        <v>1592</v>
      </c>
      <c r="I145" s="3" t="s">
        <v>2350</v>
      </c>
      <c r="J145" s="4">
        <v>0</v>
      </c>
      <c r="K145" s="4">
        <v>4</v>
      </c>
      <c r="L145" s="4">
        <v>1</v>
      </c>
      <c r="M145" s="4">
        <v>2</v>
      </c>
      <c r="N145" s="5">
        <v>271644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f t="shared" si="19"/>
        <v>271644</v>
      </c>
      <c r="U145" s="5">
        <v>12355</v>
      </c>
      <c r="V145" s="5">
        <v>0</v>
      </c>
      <c r="W145" s="5">
        <v>0</v>
      </c>
      <c r="X145" s="5">
        <v>0</v>
      </c>
      <c r="Y145" s="5">
        <v>283999</v>
      </c>
      <c r="Z145" s="5">
        <f t="shared" si="20"/>
        <v>283999</v>
      </c>
      <c r="AA145" s="20">
        <f t="shared" si="21"/>
        <v>0</v>
      </c>
    </row>
    <row r="146" spans="1:27" ht="12.75">
      <c r="A146" s="3" t="s">
        <v>1871</v>
      </c>
      <c r="B146" s="3" t="s">
        <v>1669</v>
      </c>
      <c r="C146" s="3" t="s">
        <v>1670</v>
      </c>
      <c r="D146" s="3" t="s">
        <v>1898</v>
      </c>
      <c r="E146" s="3" t="s">
        <v>3099</v>
      </c>
      <c r="F146" s="19">
        <v>16435</v>
      </c>
      <c r="G146" s="3" t="s">
        <v>1591</v>
      </c>
      <c r="H146" s="3" t="s">
        <v>1592</v>
      </c>
      <c r="I146" s="3" t="s">
        <v>2144</v>
      </c>
      <c r="J146" s="4">
        <v>0</v>
      </c>
      <c r="K146" s="4">
        <v>12</v>
      </c>
      <c r="L146" s="4">
        <v>2</v>
      </c>
      <c r="M146" s="4">
        <v>2</v>
      </c>
      <c r="N146" s="5">
        <v>692868</v>
      </c>
      <c r="O146" s="5">
        <v>0</v>
      </c>
      <c r="P146" s="5">
        <v>0</v>
      </c>
      <c r="Q146" s="5">
        <v>52002</v>
      </c>
      <c r="R146" s="5">
        <v>0</v>
      </c>
      <c r="S146" s="5">
        <v>0</v>
      </c>
      <c r="T146" s="5">
        <f t="shared" si="19"/>
        <v>744870</v>
      </c>
      <c r="U146" s="5">
        <v>36065</v>
      </c>
      <c r="V146" s="5">
        <v>0</v>
      </c>
      <c r="W146" s="5">
        <v>0</v>
      </c>
      <c r="X146" s="5">
        <v>0</v>
      </c>
      <c r="Y146" s="5">
        <v>780935</v>
      </c>
      <c r="Z146" s="5">
        <f t="shared" si="20"/>
        <v>780935</v>
      </c>
      <c r="AA146" s="20">
        <f t="shared" si="21"/>
        <v>0</v>
      </c>
    </row>
    <row r="147" spans="1:27" ht="12.75">
      <c r="A147" s="3" t="s">
        <v>1871</v>
      </c>
      <c r="B147" s="3" t="s">
        <v>1669</v>
      </c>
      <c r="C147" s="3" t="s">
        <v>1670</v>
      </c>
      <c r="D147" s="3" t="s">
        <v>1900</v>
      </c>
      <c r="E147" s="3" t="s">
        <v>3100</v>
      </c>
      <c r="F147" s="19">
        <v>16436</v>
      </c>
      <c r="G147" s="3" t="s">
        <v>1591</v>
      </c>
      <c r="H147" s="3" t="s">
        <v>1592</v>
      </c>
      <c r="I147" s="3" t="s">
        <v>2089</v>
      </c>
      <c r="J147" s="4">
        <v>0</v>
      </c>
      <c r="K147" s="4">
        <v>9</v>
      </c>
      <c r="L147" s="4">
        <v>2</v>
      </c>
      <c r="M147" s="4">
        <v>0</v>
      </c>
      <c r="N147" s="5">
        <v>433284</v>
      </c>
      <c r="O147" s="5">
        <v>0</v>
      </c>
      <c r="P147" s="5">
        <v>0</v>
      </c>
      <c r="Q147" s="5">
        <v>26001</v>
      </c>
      <c r="R147" s="5">
        <v>0</v>
      </c>
      <c r="S147" s="5">
        <v>0</v>
      </c>
      <c r="T147" s="5">
        <f t="shared" si="19"/>
        <v>459285</v>
      </c>
      <c r="U147" s="5">
        <v>20235</v>
      </c>
      <c r="V147" s="5">
        <v>0</v>
      </c>
      <c r="W147" s="5">
        <v>0</v>
      </c>
      <c r="X147" s="5">
        <v>0</v>
      </c>
      <c r="Y147" s="5">
        <v>479520</v>
      </c>
      <c r="Z147" s="5">
        <f t="shared" si="20"/>
        <v>479520</v>
      </c>
      <c r="AA147" s="20">
        <f t="shared" si="21"/>
        <v>0</v>
      </c>
    </row>
    <row r="148" spans="1:27" ht="12.75">
      <c r="A148" s="3" t="s">
        <v>1871</v>
      </c>
      <c r="B148" s="3" t="s">
        <v>1669</v>
      </c>
      <c r="C148" s="3" t="s">
        <v>1670</v>
      </c>
      <c r="D148" s="3" t="s">
        <v>1902</v>
      </c>
      <c r="E148" s="3" t="s">
        <v>1589</v>
      </c>
      <c r="F148" s="3" t="s">
        <v>1904</v>
      </c>
      <c r="G148" s="3" t="s">
        <v>1591</v>
      </c>
      <c r="H148" s="3" t="s">
        <v>1592</v>
      </c>
      <c r="I148" s="3" t="s">
        <v>1903</v>
      </c>
      <c r="J148" s="4">
        <v>0</v>
      </c>
      <c r="K148" s="4">
        <v>0</v>
      </c>
      <c r="L148" s="4">
        <v>0</v>
      </c>
      <c r="M148" s="4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f t="shared" si="19"/>
        <v>0</v>
      </c>
      <c r="U148" s="5">
        <v>6471</v>
      </c>
      <c r="V148" s="5">
        <v>0</v>
      </c>
      <c r="W148" s="5">
        <v>0</v>
      </c>
      <c r="X148" s="5">
        <v>0</v>
      </c>
      <c r="Y148" s="5">
        <v>6471</v>
      </c>
      <c r="Z148" s="5">
        <f t="shared" si="20"/>
        <v>6471</v>
      </c>
      <c r="AA148" s="20">
        <f t="shared" si="21"/>
        <v>0</v>
      </c>
    </row>
    <row r="149" spans="1:27" ht="13.5" thickBot="1">
      <c r="A149" s="3" t="s">
        <v>1871</v>
      </c>
      <c r="B149" s="3" t="s">
        <v>1669</v>
      </c>
      <c r="C149" s="3" t="s">
        <v>1670</v>
      </c>
      <c r="D149" s="3" t="s">
        <v>1905</v>
      </c>
      <c r="E149" s="21" t="s">
        <v>1589</v>
      </c>
      <c r="F149" s="21" t="s">
        <v>1907</v>
      </c>
      <c r="G149" s="21" t="s">
        <v>1591</v>
      </c>
      <c r="H149" s="21" t="s">
        <v>1592</v>
      </c>
      <c r="I149" s="3" t="s">
        <v>1906</v>
      </c>
      <c r="J149" s="6">
        <v>0</v>
      </c>
      <c r="K149" s="6">
        <v>0</v>
      </c>
      <c r="L149" s="6">
        <v>0</v>
      </c>
      <c r="M149" s="6">
        <v>0</v>
      </c>
      <c r="N149" s="7">
        <v>0</v>
      </c>
      <c r="O149" s="7">
        <v>0</v>
      </c>
      <c r="P149" s="7">
        <v>11920</v>
      </c>
      <c r="Q149" s="7">
        <v>0</v>
      </c>
      <c r="R149" s="7">
        <v>0</v>
      </c>
      <c r="S149" s="7">
        <v>0</v>
      </c>
      <c r="T149" s="7">
        <f t="shared" si="19"/>
        <v>11920</v>
      </c>
      <c r="U149" s="7">
        <v>42080</v>
      </c>
      <c r="V149" s="7">
        <v>0</v>
      </c>
      <c r="W149" s="7">
        <v>0</v>
      </c>
      <c r="X149" s="7">
        <v>0</v>
      </c>
      <c r="Y149" s="7">
        <v>54000</v>
      </c>
      <c r="Z149" s="7">
        <f t="shared" si="20"/>
        <v>54000</v>
      </c>
      <c r="AA149" s="20">
        <f t="shared" si="21"/>
        <v>0</v>
      </c>
    </row>
    <row r="150" spans="5:27" ht="12.75">
      <c r="E150" s="5" t="s">
        <v>2540</v>
      </c>
      <c r="F150" s="5" t="s">
        <v>2540</v>
      </c>
      <c r="G150" s="5" t="s">
        <v>2540</v>
      </c>
      <c r="H150" s="5" t="s">
        <v>2540</v>
      </c>
      <c r="I150" s="3" t="s">
        <v>140</v>
      </c>
      <c r="J150" s="4">
        <f aca="true" t="shared" si="22" ref="J150:Y150">SUM(J136:J149)</f>
        <v>1</v>
      </c>
      <c r="K150" s="4">
        <f t="shared" si="22"/>
        <v>49</v>
      </c>
      <c r="L150" s="4">
        <f t="shared" si="22"/>
        <v>14</v>
      </c>
      <c r="M150" s="4">
        <f t="shared" si="22"/>
        <v>18</v>
      </c>
      <c r="N150" s="5">
        <f t="shared" si="22"/>
        <v>2946960</v>
      </c>
      <c r="O150" s="5">
        <f t="shared" si="22"/>
        <v>0</v>
      </c>
      <c r="P150" s="5">
        <f t="shared" si="22"/>
        <v>181271</v>
      </c>
      <c r="Q150" s="5">
        <f t="shared" si="22"/>
        <v>173340</v>
      </c>
      <c r="R150" s="5">
        <f t="shared" si="22"/>
        <v>0</v>
      </c>
      <c r="S150" s="5">
        <f t="shared" si="22"/>
        <v>0</v>
      </c>
      <c r="T150" s="5">
        <f t="shared" si="22"/>
        <v>3301571</v>
      </c>
      <c r="U150" s="5">
        <f t="shared" si="22"/>
        <v>275068</v>
      </c>
      <c r="V150" s="5">
        <f t="shared" si="22"/>
        <v>0</v>
      </c>
      <c r="W150" s="5">
        <f t="shared" si="22"/>
        <v>0</v>
      </c>
      <c r="X150" s="5">
        <f t="shared" si="22"/>
        <v>4000</v>
      </c>
      <c r="Y150" s="5">
        <f t="shared" si="22"/>
        <v>3580639</v>
      </c>
      <c r="Z150" s="5">
        <f t="shared" si="20"/>
        <v>3580639</v>
      </c>
      <c r="AA150" s="20">
        <f t="shared" si="21"/>
        <v>0</v>
      </c>
    </row>
    <row r="151" spans="10:27" ht="12.75">
      <c r="J151" s="4" t="s">
        <v>2540</v>
      </c>
      <c r="K151" s="4"/>
      <c r="L151" s="4"/>
      <c r="M151" s="4"/>
      <c r="N151" s="5"/>
      <c r="O151" s="5"/>
      <c r="P151" s="5"/>
      <c r="Q151" s="5"/>
      <c r="R151" s="5"/>
      <c r="S151" s="5"/>
      <c r="T151" s="5" t="s">
        <v>2540</v>
      </c>
      <c r="U151" s="5"/>
      <c r="V151" s="5"/>
      <c r="W151" s="5"/>
      <c r="X151" s="5"/>
      <c r="Y151" s="5"/>
      <c r="Z151" s="5" t="s">
        <v>2540</v>
      </c>
      <c r="AA151" s="20" t="s">
        <v>2540</v>
      </c>
    </row>
    <row r="152" spans="9:27" ht="12.75">
      <c r="I152" s="3" t="s">
        <v>141</v>
      </c>
      <c r="J152" s="4"/>
      <c r="K152" s="4"/>
      <c r="L152" s="4"/>
      <c r="M152" s="4"/>
      <c r="N152" s="5"/>
      <c r="O152" s="5"/>
      <c r="P152" s="5"/>
      <c r="Q152" s="5"/>
      <c r="R152" s="5"/>
      <c r="S152" s="5"/>
      <c r="T152" s="5" t="s">
        <v>2540</v>
      </c>
      <c r="U152" s="5"/>
      <c r="V152" s="5"/>
      <c r="W152" s="5"/>
      <c r="X152" s="5"/>
      <c r="Y152" s="5" t="s">
        <v>2540</v>
      </c>
      <c r="Z152" s="5" t="s">
        <v>2540</v>
      </c>
      <c r="AA152" s="20" t="s">
        <v>2540</v>
      </c>
    </row>
    <row r="153" spans="10:27" ht="12.75">
      <c r="J153" s="4"/>
      <c r="K153" s="4"/>
      <c r="L153" s="4"/>
      <c r="M153" s="4"/>
      <c r="N153" s="5"/>
      <c r="O153" s="5"/>
      <c r="P153" s="5"/>
      <c r="Q153" s="5"/>
      <c r="R153" s="5"/>
      <c r="S153" s="5"/>
      <c r="T153" s="5" t="s">
        <v>2540</v>
      </c>
      <c r="U153" s="5"/>
      <c r="V153" s="5"/>
      <c r="W153" s="5"/>
      <c r="X153" s="5"/>
      <c r="Y153" s="5"/>
      <c r="Z153" s="5" t="s">
        <v>2540</v>
      </c>
      <c r="AA153" s="20" t="s">
        <v>2540</v>
      </c>
    </row>
    <row r="154" spans="1:27" ht="12.75">
      <c r="A154" s="3" t="s">
        <v>1908</v>
      </c>
      <c r="B154" s="3" t="s">
        <v>1669</v>
      </c>
      <c r="C154" s="3" t="s">
        <v>1670</v>
      </c>
      <c r="D154" s="3" t="s">
        <v>1909</v>
      </c>
      <c r="E154" s="3" t="s">
        <v>1589</v>
      </c>
      <c r="F154" s="3" t="s">
        <v>1911</v>
      </c>
      <c r="G154" s="3" t="s">
        <v>1591</v>
      </c>
      <c r="H154" s="3" t="s">
        <v>1592</v>
      </c>
      <c r="I154" s="3" t="s">
        <v>1910</v>
      </c>
      <c r="J154" s="4">
        <v>1</v>
      </c>
      <c r="K154" s="4">
        <v>0</v>
      </c>
      <c r="L154" s="4">
        <v>8.539</v>
      </c>
      <c r="M154" s="4">
        <v>1</v>
      </c>
      <c r="N154" s="5">
        <v>424992</v>
      </c>
      <c r="O154" s="5">
        <v>0</v>
      </c>
      <c r="P154" s="5">
        <v>17749</v>
      </c>
      <c r="Q154" s="5">
        <v>0</v>
      </c>
      <c r="R154" s="5">
        <v>0</v>
      </c>
      <c r="S154" s="5">
        <v>0</v>
      </c>
      <c r="T154" s="5">
        <f t="shared" si="19"/>
        <v>442741</v>
      </c>
      <c r="U154" s="5">
        <v>115555</v>
      </c>
      <c r="V154" s="5">
        <v>0</v>
      </c>
      <c r="W154" s="5">
        <v>0</v>
      </c>
      <c r="X154" s="5">
        <v>0</v>
      </c>
      <c r="Y154" s="5">
        <v>558296</v>
      </c>
      <c r="Z154" s="5">
        <f t="shared" si="20"/>
        <v>558296</v>
      </c>
      <c r="AA154" s="20">
        <f t="shared" si="21"/>
        <v>0</v>
      </c>
    </row>
    <row r="155" spans="1:27" ht="12.75">
      <c r="A155" s="3" t="s">
        <v>1908</v>
      </c>
      <c r="B155" s="3" t="s">
        <v>1669</v>
      </c>
      <c r="C155" s="3" t="s">
        <v>1670</v>
      </c>
      <c r="D155" s="3" t="s">
        <v>1912</v>
      </c>
      <c r="E155" s="3" t="s">
        <v>1589</v>
      </c>
      <c r="F155" s="3" t="s">
        <v>1914</v>
      </c>
      <c r="G155" s="3" t="s">
        <v>1591</v>
      </c>
      <c r="H155" s="3" t="s">
        <v>1592</v>
      </c>
      <c r="I155" s="3" t="s">
        <v>1913</v>
      </c>
      <c r="J155" s="4">
        <v>0</v>
      </c>
      <c r="K155" s="4">
        <v>0</v>
      </c>
      <c r="L155" s="4">
        <v>0</v>
      </c>
      <c r="M155" s="4">
        <v>0</v>
      </c>
      <c r="N155" s="5">
        <v>0</v>
      </c>
      <c r="O155" s="5">
        <v>0</v>
      </c>
      <c r="P155" s="5">
        <v>29703</v>
      </c>
      <c r="Q155" s="5">
        <v>0</v>
      </c>
      <c r="R155" s="5">
        <v>0</v>
      </c>
      <c r="S155" s="5">
        <v>0</v>
      </c>
      <c r="T155" s="5">
        <f t="shared" si="19"/>
        <v>29703</v>
      </c>
      <c r="U155" s="5">
        <f>SUM(S155:S155)</f>
        <v>0</v>
      </c>
      <c r="V155" s="5">
        <v>0</v>
      </c>
      <c r="W155" s="5">
        <v>0</v>
      </c>
      <c r="X155" s="5">
        <v>0</v>
      </c>
      <c r="Y155" s="5">
        <v>29703</v>
      </c>
      <c r="Z155" s="5">
        <f t="shared" si="20"/>
        <v>29703</v>
      </c>
      <c r="AA155" s="20">
        <f t="shared" si="21"/>
        <v>0</v>
      </c>
    </row>
    <row r="156" spans="1:27" ht="12.75">
      <c r="A156" s="3" t="s">
        <v>1699</v>
      </c>
      <c r="B156" s="3" t="s">
        <v>1669</v>
      </c>
      <c r="C156" s="3" t="s">
        <v>1670</v>
      </c>
      <c r="D156" s="3" t="s">
        <v>1915</v>
      </c>
      <c r="E156" s="3" t="s">
        <v>1589</v>
      </c>
      <c r="F156" s="3" t="s">
        <v>1917</v>
      </c>
      <c r="G156" s="3" t="s">
        <v>1591</v>
      </c>
      <c r="H156" s="3" t="s">
        <v>1592</v>
      </c>
      <c r="I156" s="3" t="s">
        <v>1916</v>
      </c>
      <c r="J156" s="4">
        <v>0</v>
      </c>
      <c r="K156" s="4">
        <v>0.911</v>
      </c>
      <c r="L156" s="4">
        <v>0.461</v>
      </c>
      <c r="M156" s="4">
        <v>0</v>
      </c>
      <c r="N156" s="5">
        <v>74547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f t="shared" si="19"/>
        <v>74547</v>
      </c>
      <c r="U156" s="5">
        <f>SUM(S156:S156)</f>
        <v>0</v>
      </c>
      <c r="V156" s="5">
        <v>0</v>
      </c>
      <c r="W156" s="5">
        <v>0</v>
      </c>
      <c r="X156" s="5">
        <v>0</v>
      </c>
      <c r="Y156" s="5">
        <v>74547</v>
      </c>
      <c r="Z156" s="5">
        <f t="shared" si="20"/>
        <v>74547</v>
      </c>
      <c r="AA156" s="20">
        <f t="shared" si="21"/>
        <v>0</v>
      </c>
    </row>
    <row r="157" spans="1:27" ht="12.75">
      <c r="A157" s="3" t="s">
        <v>1908</v>
      </c>
      <c r="B157" s="3" t="s">
        <v>1669</v>
      </c>
      <c r="C157" s="3" t="s">
        <v>1670</v>
      </c>
      <c r="D157" s="3" t="s">
        <v>1918</v>
      </c>
      <c r="E157" s="3" t="s">
        <v>1589</v>
      </c>
      <c r="F157" s="3" t="s">
        <v>1920</v>
      </c>
      <c r="G157" s="3" t="s">
        <v>1591</v>
      </c>
      <c r="H157" s="3" t="s">
        <v>1592</v>
      </c>
      <c r="I157" s="3" t="s">
        <v>1919</v>
      </c>
      <c r="J157" s="4">
        <v>0</v>
      </c>
      <c r="K157" s="4">
        <v>6.2589999999999995</v>
      </c>
      <c r="L157" s="4">
        <v>3.455</v>
      </c>
      <c r="M157" s="4">
        <v>1.834</v>
      </c>
      <c r="N157" s="5">
        <v>683256</v>
      </c>
      <c r="O157" s="5">
        <v>0</v>
      </c>
      <c r="P157" s="5">
        <v>2474</v>
      </c>
      <c r="Q157" s="5">
        <v>8668</v>
      </c>
      <c r="R157" s="5">
        <v>0</v>
      </c>
      <c r="S157" s="5">
        <v>0</v>
      </c>
      <c r="T157" s="5">
        <f t="shared" si="19"/>
        <v>694398</v>
      </c>
      <c r="U157" s="5">
        <v>22894</v>
      </c>
      <c r="V157" s="5">
        <v>0</v>
      </c>
      <c r="W157" s="5">
        <v>0</v>
      </c>
      <c r="X157" s="5">
        <v>0</v>
      </c>
      <c r="Y157" s="5">
        <v>717292</v>
      </c>
      <c r="Z157" s="5">
        <f t="shared" si="20"/>
        <v>717292</v>
      </c>
      <c r="AA157" s="20">
        <f t="shared" si="21"/>
        <v>0</v>
      </c>
    </row>
    <row r="158" spans="1:27" ht="12.75">
      <c r="A158" s="3" t="s">
        <v>1908</v>
      </c>
      <c r="B158" s="3" t="s">
        <v>1669</v>
      </c>
      <c r="C158" s="3" t="s">
        <v>1670</v>
      </c>
      <c r="D158" s="3" t="s">
        <v>1921</v>
      </c>
      <c r="E158" s="3" t="s">
        <v>1589</v>
      </c>
      <c r="F158" s="3" t="s">
        <v>1923</v>
      </c>
      <c r="G158" s="3" t="s">
        <v>1591</v>
      </c>
      <c r="H158" s="3" t="s">
        <v>1592</v>
      </c>
      <c r="I158" s="3" t="s">
        <v>1922</v>
      </c>
      <c r="J158" s="4">
        <v>0</v>
      </c>
      <c r="K158" s="4">
        <v>20.089000000000002</v>
      </c>
      <c r="L158" s="4">
        <v>4</v>
      </c>
      <c r="M158" s="4">
        <v>0</v>
      </c>
      <c r="N158" s="5">
        <v>1193566</v>
      </c>
      <c r="O158" s="5">
        <v>0</v>
      </c>
      <c r="P158" s="5">
        <v>0</v>
      </c>
      <c r="Q158" s="5">
        <v>60676</v>
      </c>
      <c r="R158" s="5">
        <v>0</v>
      </c>
      <c r="S158" s="5">
        <v>0</v>
      </c>
      <c r="T158" s="5">
        <f t="shared" si="19"/>
        <v>1254242</v>
      </c>
      <c r="U158" s="5">
        <v>88925</v>
      </c>
      <c r="V158" s="5">
        <v>0</v>
      </c>
      <c r="W158" s="5">
        <v>0</v>
      </c>
      <c r="X158" s="5">
        <v>0</v>
      </c>
      <c r="Y158" s="5">
        <v>1343167</v>
      </c>
      <c r="Z158" s="5">
        <f t="shared" si="20"/>
        <v>1343167</v>
      </c>
      <c r="AA158" s="20">
        <f t="shared" si="21"/>
        <v>0</v>
      </c>
    </row>
    <row r="159" spans="1:27" ht="12.75">
      <c r="A159" s="3" t="s">
        <v>1908</v>
      </c>
      <c r="B159" s="3" t="s">
        <v>1669</v>
      </c>
      <c r="C159" s="3" t="s">
        <v>1670</v>
      </c>
      <c r="D159" s="3" t="s">
        <v>1924</v>
      </c>
      <c r="E159" s="3" t="s">
        <v>1589</v>
      </c>
      <c r="F159" s="3" t="s">
        <v>1926</v>
      </c>
      <c r="G159" s="3" t="s">
        <v>1591</v>
      </c>
      <c r="H159" s="3" t="s">
        <v>1592</v>
      </c>
      <c r="I159" s="3" t="s">
        <v>1925</v>
      </c>
      <c r="J159" s="4">
        <v>1</v>
      </c>
      <c r="K159" s="4">
        <v>11.75</v>
      </c>
      <c r="L159" s="4">
        <v>2</v>
      </c>
      <c r="M159" s="4">
        <v>0</v>
      </c>
      <c r="N159" s="5">
        <v>904896</v>
      </c>
      <c r="O159" s="5">
        <v>0</v>
      </c>
      <c r="P159" s="5">
        <v>5536</v>
      </c>
      <c r="Q159" s="5">
        <v>52008</v>
      </c>
      <c r="R159" s="5">
        <v>0</v>
      </c>
      <c r="S159" s="5">
        <v>0</v>
      </c>
      <c r="T159" s="5">
        <f t="shared" si="19"/>
        <v>962440</v>
      </c>
      <c r="U159" s="5">
        <v>24178</v>
      </c>
      <c r="V159" s="5">
        <v>0</v>
      </c>
      <c r="W159" s="5">
        <v>0</v>
      </c>
      <c r="X159" s="5">
        <v>0</v>
      </c>
      <c r="Y159" s="5">
        <v>986618</v>
      </c>
      <c r="Z159" s="5">
        <f t="shared" si="20"/>
        <v>986618</v>
      </c>
      <c r="AA159" s="20">
        <f t="shared" si="21"/>
        <v>0</v>
      </c>
    </row>
    <row r="160" spans="1:27" ht="12.75">
      <c r="A160" s="3" t="s">
        <v>1908</v>
      </c>
      <c r="B160" s="3" t="s">
        <v>1669</v>
      </c>
      <c r="C160" s="3" t="s">
        <v>1670</v>
      </c>
      <c r="D160" s="3" t="s">
        <v>1927</v>
      </c>
      <c r="E160" s="3" t="s">
        <v>1589</v>
      </c>
      <c r="F160" s="3" t="s">
        <v>1929</v>
      </c>
      <c r="G160" s="3" t="s">
        <v>1591</v>
      </c>
      <c r="H160" s="3" t="s">
        <v>1592</v>
      </c>
      <c r="I160" s="3" t="s">
        <v>1928</v>
      </c>
      <c r="J160" s="4">
        <v>0</v>
      </c>
      <c r="K160" s="4">
        <v>15</v>
      </c>
      <c r="L160" s="4">
        <v>5</v>
      </c>
      <c r="M160" s="4">
        <v>0</v>
      </c>
      <c r="N160" s="5">
        <v>1005672</v>
      </c>
      <c r="O160" s="5">
        <v>0</v>
      </c>
      <c r="P160" s="5">
        <v>12362</v>
      </c>
      <c r="Q160" s="5">
        <v>95348</v>
      </c>
      <c r="R160" s="5">
        <v>0</v>
      </c>
      <c r="S160" s="5">
        <v>0</v>
      </c>
      <c r="T160" s="5">
        <f t="shared" si="19"/>
        <v>1113382</v>
      </c>
      <c r="U160" s="5">
        <v>59540</v>
      </c>
      <c r="V160" s="5">
        <v>0</v>
      </c>
      <c r="W160" s="5">
        <v>0</v>
      </c>
      <c r="X160" s="5">
        <v>0</v>
      </c>
      <c r="Y160" s="5">
        <v>1172922</v>
      </c>
      <c r="Z160" s="5">
        <f t="shared" si="20"/>
        <v>1172922</v>
      </c>
      <c r="AA160" s="20">
        <f t="shared" si="21"/>
        <v>0</v>
      </c>
    </row>
    <row r="161" spans="1:27" ht="12.75">
      <c r="A161" s="3" t="s">
        <v>1908</v>
      </c>
      <c r="B161" s="3" t="s">
        <v>1669</v>
      </c>
      <c r="C161" s="3" t="s">
        <v>1670</v>
      </c>
      <c r="D161" s="3" t="s">
        <v>1930</v>
      </c>
      <c r="E161" s="3" t="s">
        <v>1589</v>
      </c>
      <c r="F161" s="3" t="s">
        <v>1932</v>
      </c>
      <c r="G161" s="3" t="s">
        <v>1591</v>
      </c>
      <c r="H161" s="3" t="s">
        <v>1592</v>
      </c>
      <c r="I161" s="3" t="s">
        <v>1931</v>
      </c>
      <c r="J161" s="4">
        <v>0</v>
      </c>
      <c r="K161" s="4">
        <v>0</v>
      </c>
      <c r="L161" s="4">
        <v>0</v>
      </c>
      <c r="M161" s="4">
        <v>0</v>
      </c>
      <c r="N161" s="5">
        <v>0</v>
      </c>
      <c r="O161" s="5">
        <v>0</v>
      </c>
      <c r="P161" s="5">
        <v>0</v>
      </c>
      <c r="Q161" s="5">
        <v>34672</v>
      </c>
      <c r="R161" s="5">
        <v>0</v>
      </c>
      <c r="S161" s="5">
        <v>0</v>
      </c>
      <c r="T161" s="5">
        <f t="shared" si="19"/>
        <v>34672</v>
      </c>
      <c r="U161" s="5">
        <v>7000</v>
      </c>
      <c r="V161" s="5">
        <v>0</v>
      </c>
      <c r="W161" s="5">
        <v>0</v>
      </c>
      <c r="X161" s="5">
        <v>0</v>
      </c>
      <c r="Y161" s="5">
        <v>41672</v>
      </c>
      <c r="Z161" s="5">
        <f t="shared" si="20"/>
        <v>41672</v>
      </c>
      <c r="AA161" s="20">
        <f t="shared" si="21"/>
        <v>0</v>
      </c>
    </row>
    <row r="162" spans="1:27" ht="13.5" thickBot="1">
      <c r="A162" s="3" t="s">
        <v>1908</v>
      </c>
      <c r="B162" s="3" t="s">
        <v>1669</v>
      </c>
      <c r="C162" s="3" t="s">
        <v>1670</v>
      </c>
      <c r="D162" s="3" t="s">
        <v>1933</v>
      </c>
      <c r="E162" s="21" t="s">
        <v>1589</v>
      </c>
      <c r="F162" s="21" t="s">
        <v>1935</v>
      </c>
      <c r="G162" s="21" t="s">
        <v>1591</v>
      </c>
      <c r="H162" s="21" t="s">
        <v>1592</v>
      </c>
      <c r="I162" s="3" t="s">
        <v>1934</v>
      </c>
      <c r="J162" s="6">
        <v>0</v>
      </c>
      <c r="K162" s="6">
        <v>12</v>
      </c>
      <c r="L162" s="6">
        <v>3.593</v>
      </c>
      <c r="M162" s="6">
        <v>0</v>
      </c>
      <c r="N162" s="7">
        <v>857286</v>
      </c>
      <c r="O162" s="7">
        <v>0</v>
      </c>
      <c r="P162" s="7">
        <v>3666</v>
      </c>
      <c r="Q162" s="7">
        <v>52008</v>
      </c>
      <c r="R162" s="7">
        <v>0</v>
      </c>
      <c r="S162" s="7">
        <v>0</v>
      </c>
      <c r="T162" s="7">
        <f t="shared" si="19"/>
        <v>912960</v>
      </c>
      <c r="U162" s="7">
        <v>52177</v>
      </c>
      <c r="V162" s="7">
        <v>0</v>
      </c>
      <c r="W162" s="7">
        <v>0</v>
      </c>
      <c r="X162" s="7">
        <v>0</v>
      </c>
      <c r="Y162" s="7">
        <v>965137</v>
      </c>
      <c r="Z162" s="7">
        <f t="shared" si="20"/>
        <v>965137</v>
      </c>
      <c r="AA162" s="20">
        <f t="shared" si="21"/>
        <v>0</v>
      </c>
    </row>
    <row r="163" spans="5:27" ht="12.75">
      <c r="E163" s="21"/>
      <c r="F163" s="21"/>
      <c r="G163" s="21"/>
      <c r="H163" s="21"/>
      <c r="I163" s="3" t="s">
        <v>142</v>
      </c>
      <c r="J163" s="16">
        <f aca="true" t="shared" si="23" ref="J163:Y163">SUM(J154:J162)</f>
        <v>2</v>
      </c>
      <c r="K163" s="16">
        <f t="shared" si="23"/>
        <v>66.009</v>
      </c>
      <c r="L163" s="16">
        <f t="shared" si="23"/>
        <v>27.048</v>
      </c>
      <c r="M163" s="16">
        <f t="shared" si="23"/>
        <v>2.834</v>
      </c>
      <c r="N163" s="12">
        <f t="shared" si="23"/>
        <v>5144215</v>
      </c>
      <c r="O163" s="12">
        <f t="shared" si="23"/>
        <v>0</v>
      </c>
      <c r="P163" s="12">
        <f t="shared" si="23"/>
        <v>71490</v>
      </c>
      <c r="Q163" s="12">
        <f t="shared" si="23"/>
        <v>303380</v>
      </c>
      <c r="R163" s="12">
        <f t="shared" si="23"/>
        <v>0</v>
      </c>
      <c r="S163" s="12">
        <f t="shared" si="23"/>
        <v>0</v>
      </c>
      <c r="T163" s="12">
        <f t="shared" si="23"/>
        <v>5519085</v>
      </c>
      <c r="U163" s="12">
        <f t="shared" si="23"/>
        <v>370269</v>
      </c>
      <c r="V163" s="12">
        <f t="shared" si="23"/>
        <v>0</v>
      </c>
      <c r="W163" s="12">
        <f t="shared" si="23"/>
        <v>0</v>
      </c>
      <c r="X163" s="12">
        <f t="shared" si="23"/>
        <v>0</v>
      </c>
      <c r="Y163" s="12">
        <f t="shared" si="23"/>
        <v>5889354</v>
      </c>
      <c r="Z163" s="5">
        <f t="shared" si="20"/>
        <v>5889354</v>
      </c>
      <c r="AA163" s="20">
        <f t="shared" si="21"/>
        <v>0</v>
      </c>
    </row>
    <row r="164" spans="5:28" ht="12.75">
      <c r="E164" s="21"/>
      <c r="F164" s="21"/>
      <c r="G164" s="21"/>
      <c r="H164" s="21"/>
      <c r="J164" s="16"/>
      <c r="K164" s="16"/>
      <c r="L164" s="16"/>
      <c r="M164" s="16"/>
      <c r="N164" s="12"/>
      <c r="O164" s="12"/>
      <c r="P164" s="12"/>
      <c r="Q164" s="12"/>
      <c r="R164" s="12"/>
      <c r="S164" s="12"/>
      <c r="T164" s="5" t="s">
        <v>2540</v>
      </c>
      <c r="U164" s="12"/>
      <c r="V164" s="12"/>
      <c r="W164" s="12"/>
      <c r="X164" s="12"/>
      <c r="Y164" s="12"/>
      <c r="Z164" s="5" t="s">
        <v>2540</v>
      </c>
      <c r="AA164" s="20" t="s">
        <v>2540</v>
      </c>
      <c r="AB164" s="3" t="s">
        <v>2540</v>
      </c>
    </row>
    <row r="165" spans="5:27" ht="12.75">
      <c r="E165" s="21"/>
      <c r="F165" s="21"/>
      <c r="G165" s="21"/>
      <c r="H165" s="21"/>
      <c r="I165" s="3" t="s">
        <v>143</v>
      </c>
      <c r="J165" s="16"/>
      <c r="K165" s="16"/>
      <c r="L165" s="16"/>
      <c r="M165" s="16"/>
      <c r="N165" s="12"/>
      <c r="O165" s="12"/>
      <c r="P165" s="12"/>
      <c r="Q165" s="12"/>
      <c r="R165" s="12"/>
      <c r="S165" s="12"/>
      <c r="T165" s="5" t="s">
        <v>2540</v>
      </c>
      <c r="U165" s="12"/>
      <c r="V165" s="12"/>
      <c r="W165" s="12"/>
      <c r="X165" s="12"/>
      <c r="Y165" s="12"/>
      <c r="Z165" s="5" t="s">
        <v>2540</v>
      </c>
      <c r="AA165" s="20" t="s">
        <v>2540</v>
      </c>
    </row>
    <row r="166" spans="5:27" ht="12.75">
      <c r="E166" s="21"/>
      <c r="F166" s="21"/>
      <c r="G166" s="21"/>
      <c r="H166" s="21"/>
      <c r="J166" s="16"/>
      <c r="K166" s="16"/>
      <c r="L166" s="16"/>
      <c r="M166" s="16"/>
      <c r="N166" s="12"/>
      <c r="O166" s="12"/>
      <c r="P166" s="12"/>
      <c r="Q166" s="12"/>
      <c r="R166" s="12"/>
      <c r="S166" s="12"/>
      <c r="T166" s="5" t="s">
        <v>2540</v>
      </c>
      <c r="U166" s="12"/>
      <c r="V166" s="12"/>
      <c r="W166" s="12"/>
      <c r="X166" s="12"/>
      <c r="Y166" s="12"/>
      <c r="Z166" s="5" t="s">
        <v>2540</v>
      </c>
      <c r="AA166" s="20" t="s">
        <v>2540</v>
      </c>
    </row>
    <row r="167" spans="1:27" ht="12.75">
      <c r="A167" s="3" t="s">
        <v>1936</v>
      </c>
      <c r="B167" s="3" t="s">
        <v>1669</v>
      </c>
      <c r="C167" s="3" t="s">
        <v>1670</v>
      </c>
      <c r="D167" s="3" t="s">
        <v>1937</v>
      </c>
      <c r="E167" s="3" t="s">
        <v>1589</v>
      </c>
      <c r="F167" s="3" t="s">
        <v>1939</v>
      </c>
      <c r="G167" s="3" t="s">
        <v>1591</v>
      </c>
      <c r="H167" s="3" t="s">
        <v>1592</v>
      </c>
      <c r="I167" s="3" t="s">
        <v>2928</v>
      </c>
      <c r="J167" s="4">
        <v>0</v>
      </c>
      <c r="K167" s="4">
        <v>0</v>
      </c>
      <c r="L167" s="4">
        <v>0</v>
      </c>
      <c r="M167" s="4">
        <v>0</v>
      </c>
      <c r="N167" s="5">
        <v>0</v>
      </c>
      <c r="O167" s="5">
        <v>0</v>
      </c>
      <c r="P167" s="5">
        <v>1276</v>
      </c>
      <c r="Q167" s="5">
        <v>18</v>
      </c>
      <c r="R167" s="5">
        <v>0</v>
      </c>
      <c r="S167" s="5">
        <v>0</v>
      </c>
      <c r="T167" s="5">
        <f t="shared" si="19"/>
        <v>1294</v>
      </c>
      <c r="U167" s="5">
        <v>76926</v>
      </c>
      <c r="V167" s="5">
        <v>0</v>
      </c>
      <c r="W167" s="5">
        <v>0</v>
      </c>
      <c r="X167" s="5">
        <v>3870</v>
      </c>
      <c r="Y167" s="5">
        <v>82090</v>
      </c>
      <c r="Z167" s="5">
        <f t="shared" si="20"/>
        <v>82090</v>
      </c>
      <c r="AA167" s="20">
        <f t="shared" si="21"/>
        <v>0</v>
      </c>
    </row>
    <row r="168" spans="1:27" ht="12.75">
      <c r="A168" s="3" t="s">
        <v>1936</v>
      </c>
      <c r="B168" s="3" t="s">
        <v>1669</v>
      </c>
      <c r="C168" s="3" t="s">
        <v>1670</v>
      </c>
      <c r="D168" s="3" t="s">
        <v>1940</v>
      </c>
      <c r="E168" s="3" t="s">
        <v>1589</v>
      </c>
      <c r="F168" s="3" t="s">
        <v>1942</v>
      </c>
      <c r="G168" s="3" t="s">
        <v>1591</v>
      </c>
      <c r="H168" s="3" t="s">
        <v>1592</v>
      </c>
      <c r="I168" s="3" t="s">
        <v>1941</v>
      </c>
      <c r="J168" s="4">
        <v>0</v>
      </c>
      <c r="K168" s="4">
        <v>0</v>
      </c>
      <c r="L168" s="4">
        <v>0</v>
      </c>
      <c r="M168" s="4">
        <v>0</v>
      </c>
      <c r="N168" s="5">
        <v>0</v>
      </c>
      <c r="O168" s="5">
        <v>0</v>
      </c>
      <c r="P168" s="5">
        <v>116968</v>
      </c>
      <c r="Q168" s="5">
        <v>0</v>
      </c>
      <c r="R168" s="5">
        <v>0</v>
      </c>
      <c r="S168" s="5">
        <v>0</v>
      </c>
      <c r="T168" s="5">
        <f t="shared" si="19"/>
        <v>116968</v>
      </c>
      <c r="U168" s="5">
        <f>SUM(S168:S168)</f>
        <v>0</v>
      </c>
      <c r="V168" s="5">
        <v>0</v>
      </c>
      <c r="W168" s="5">
        <v>0</v>
      </c>
      <c r="X168" s="5">
        <v>0</v>
      </c>
      <c r="Y168" s="5">
        <v>116968</v>
      </c>
      <c r="Z168" s="5">
        <f t="shared" si="20"/>
        <v>116968</v>
      </c>
      <c r="AA168" s="20">
        <f t="shared" si="21"/>
        <v>0</v>
      </c>
    </row>
    <row r="169" spans="1:27" ht="12.75">
      <c r="A169" s="3" t="s">
        <v>1936</v>
      </c>
      <c r="B169" s="3" t="s">
        <v>1669</v>
      </c>
      <c r="C169" s="3" t="s">
        <v>1670</v>
      </c>
      <c r="D169" s="3" t="s">
        <v>1943</v>
      </c>
      <c r="E169" s="3" t="s">
        <v>1589</v>
      </c>
      <c r="F169" s="3" t="s">
        <v>1945</v>
      </c>
      <c r="G169" s="3" t="s">
        <v>1591</v>
      </c>
      <c r="H169" s="3" t="s">
        <v>1592</v>
      </c>
      <c r="I169" s="3" t="s">
        <v>1944</v>
      </c>
      <c r="J169" s="4">
        <v>0</v>
      </c>
      <c r="K169" s="4">
        <v>1.525</v>
      </c>
      <c r="L169" s="4">
        <v>1</v>
      </c>
      <c r="M169" s="4">
        <v>0</v>
      </c>
      <c r="N169" s="5">
        <v>111192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f t="shared" si="19"/>
        <v>111192</v>
      </c>
      <c r="U169" s="5">
        <v>525807</v>
      </c>
      <c r="V169" s="5">
        <v>0</v>
      </c>
      <c r="W169" s="5">
        <v>0</v>
      </c>
      <c r="X169" s="5">
        <v>0</v>
      </c>
      <c r="Y169" s="5">
        <v>636999</v>
      </c>
      <c r="Z169" s="5">
        <f t="shared" si="20"/>
        <v>636999</v>
      </c>
      <c r="AA169" s="20">
        <f t="shared" si="21"/>
        <v>0</v>
      </c>
    </row>
    <row r="170" spans="1:27" ht="12.75">
      <c r="A170" s="3" t="s">
        <v>1936</v>
      </c>
      <c r="B170" s="3" t="s">
        <v>1669</v>
      </c>
      <c r="C170" s="3" t="s">
        <v>1670</v>
      </c>
      <c r="D170" s="3" t="s">
        <v>1946</v>
      </c>
      <c r="E170" s="3" t="s">
        <v>1589</v>
      </c>
      <c r="F170" s="3" t="s">
        <v>1948</v>
      </c>
      <c r="G170" s="3" t="s">
        <v>1591</v>
      </c>
      <c r="H170" s="3" t="s">
        <v>1592</v>
      </c>
      <c r="I170" s="3" t="s">
        <v>1947</v>
      </c>
      <c r="J170" s="4">
        <v>1</v>
      </c>
      <c r="K170" s="4">
        <v>11</v>
      </c>
      <c r="L170" s="4">
        <v>3</v>
      </c>
      <c r="M170" s="4">
        <v>7</v>
      </c>
      <c r="N170" s="5">
        <v>956196</v>
      </c>
      <c r="O170" s="5">
        <v>0</v>
      </c>
      <c r="P170" s="5">
        <v>5773</v>
      </c>
      <c r="Q170" s="5">
        <v>34668</v>
      </c>
      <c r="R170" s="5">
        <v>0</v>
      </c>
      <c r="S170" s="5">
        <v>0</v>
      </c>
      <c r="T170" s="5">
        <f t="shared" si="19"/>
        <v>996637</v>
      </c>
      <c r="U170" s="5">
        <v>46418</v>
      </c>
      <c r="V170" s="5">
        <v>0</v>
      </c>
      <c r="W170" s="5">
        <v>0</v>
      </c>
      <c r="X170" s="5">
        <v>0</v>
      </c>
      <c r="Y170" s="5">
        <v>1043055</v>
      </c>
      <c r="Z170" s="5">
        <f t="shared" si="20"/>
        <v>1043055</v>
      </c>
      <c r="AA170" s="20">
        <f t="shared" si="21"/>
        <v>0</v>
      </c>
    </row>
    <row r="171" spans="1:27" ht="12.75">
      <c r="A171" s="3" t="s">
        <v>1936</v>
      </c>
      <c r="B171" s="3" t="s">
        <v>1669</v>
      </c>
      <c r="C171" s="3" t="s">
        <v>1670</v>
      </c>
      <c r="D171" s="3" t="s">
        <v>1949</v>
      </c>
      <c r="E171" s="3" t="s">
        <v>1589</v>
      </c>
      <c r="F171" s="3" t="s">
        <v>1951</v>
      </c>
      <c r="G171" s="3" t="s">
        <v>1591</v>
      </c>
      <c r="H171" s="3" t="s">
        <v>1592</v>
      </c>
      <c r="I171" s="3" t="s">
        <v>1950</v>
      </c>
      <c r="J171" s="4">
        <v>0</v>
      </c>
      <c r="K171" s="4">
        <v>1</v>
      </c>
      <c r="L171" s="4">
        <v>0</v>
      </c>
      <c r="M171" s="4">
        <v>2</v>
      </c>
      <c r="N171" s="5">
        <v>126636</v>
      </c>
      <c r="O171" s="5">
        <v>0</v>
      </c>
      <c r="P171" s="5">
        <v>9839</v>
      </c>
      <c r="Q171" s="5">
        <v>0</v>
      </c>
      <c r="R171" s="5">
        <v>0</v>
      </c>
      <c r="S171" s="5">
        <v>0</v>
      </c>
      <c r="T171" s="5">
        <f t="shared" si="19"/>
        <v>136475</v>
      </c>
      <c r="U171" s="5">
        <v>16463</v>
      </c>
      <c r="V171" s="5">
        <v>0</v>
      </c>
      <c r="W171" s="5">
        <v>0</v>
      </c>
      <c r="X171" s="5">
        <v>2140</v>
      </c>
      <c r="Y171" s="5">
        <v>155078</v>
      </c>
      <c r="Z171" s="5">
        <f t="shared" si="20"/>
        <v>155078</v>
      </c>
      <c r="AA171" s="20">
        <f t="shared" si="21"/>
        <v>0</v>
      </c>
    </row>
    <row r="172" spans="1:27" ht="12.75">
      <c r="A172" s="3" t="s">
        <v>1936</v>
      </c>
      <c r="B172" s="3" t="s">
        <v>1669</v>
      </c>
      <c r="C172" s="3" t="s">
        <v>1670</v>
      </c>
      <c r="D172" s="3" t="s">
        <v>1952</v>
      </c>
      <c r="E172" s="3" t="s">
        <v>1589</v>
      </c>
      <c r="F172" s="3" t="s">
        <v>1954</v>
      </c>
      <c r="G172" s="3" t="s">
        <v>1591</v>
      </c>
      <c r="H172" s="3" t="s">
        <v>1592</v>
      </c>
      <c r="I172" s="3" t="s">
        <v>1953</v>
      </c>
      <c r="J172" s="4">
        <v>0</v>
      </c>
      <c r="K172" s="4">
        <v>5.777</v>
      </c>
      <c r="L172" s="4">
        <v>3</v>
      </c>
      <c r="M172" s="4">
        <v>1</v>
      </c>
      <c r="N172" s="5">
        <v>397284</v>
      </c>
      <c r="O172" s="5">
        <v>0</v>
      </c>
      <c r="P172" s="5">
        <v>164418</v>
      </c>
      <c r="Q172" s="5">
        <v>0</v>
      </c>
      <c r="R172" s="5">
        <v>0</v>
      </c>
      <c r="S172" s="5">
        <v>0</v>
      </c>
      <c r="T172" s="5">
        <f t="shared" si="19"/>
        <v>561702</v>
      </c>
      <c r="U172" s="5">
        <v>31588</v>
      </c>
      <c r="V172" s="5">
        <v>0</v>
      </c>
      <c r="W172" s="5">
        <v>0</v>
      </c>
      <c r="X172" s="5">
        <v>0</v>
      </c>
      <c r="Y172" s="5">
        <v>593290</v>
      </c>
      <c r="Z172" s="5">
        <f t="shared" si="20"/>
        <v>593290</v>
      </c>
      <c r="AA172" s="20">
        <f t="shared" si="21"/>
        <v>0</v>
      </c>
    </row>
    <row r="173" spans="1:27" ht="12.75">
      <c r="A173" s="3" t="s">
        <v>1936</v>
      </c>
      <c r="B173" s="3" t="s">
        <v>1669</v>
      </c>
      <c r="C173" s="3" t="s">
        <v>1670</v>
      </c>
      <c r="D173" s="3" t="s">
        <v>1955</v>
      </c>
      <c r="E173" s="3" t="s">
        <v>1589</v>
      </c>
      <c r="F173" s="3" t="s">
        <v>1957</v>
      </c>
      <c r="G173" s="3" t="s">
        <v>1591</v>
      </c>
      <c r="H173" s="3" t="s">
        <v>1592</v>
      </c>
      <c r="I173" s="3" t="s">
        <v>1956</v>
      </c>
      <c r="J173" s="4">
        <v>1</v>
      </c>
      <c r="K173" s="4">
        <v>7</v>
      </c>
      <c r="L173" s="4">
        <v>2</v>
      </c>
      <c r="M173" s="4">
        <v>3</v>
      </c>
      <c r="N173" s="5">
        <v>516900</v>
      </c>
      <c r="O173" s="5">
        <v>0</v>
      </c>
      <c r="P173" s="5">
        <v>4188</v>
      </c>
      <c r="Q173" s="5">
        <v>34668</v>
      </c>
      <c r="R173" s="5">
        <v>0</v>
      </c>
      <c r="S173" s="5">
        <v>0</v>
      </c>
      <c r="T173" s="5">
        <f t="shared" si="19"/>
        <v>555756</v>
      </c>
      <c r="U173" s="5">
        <v>15129</v>
      </c>
      <c r="V173" s="5">
        <v>0</v>
      </c>
      <c r="W173" s="5">
        <v>0</v>
      </c>
      <c r="X173" s="5">
        <v>0</v>
      </c>
      <c r="Y173" s="5">
        <v>570885</v>
      </c>
      <c r="Z173" s="5">
        <f t="shared" si="20"/>
        <v>570885</v>
      </c>
      <c r="AA173" s="20">
        <f t="shared" si="21"/>
        <v>0</v>
      </c>
    </row>
    <row r="174" spans="1:27" ht="12.75">
      <c r="A174" s="3" t="s">
        <v>1936</v>
      </c>
      <c r="B174" s="3" t="s">
        <v>1669</v>
      </c>
      <c r="C174" s="3" t="s">
        <v>1670</v>
      </c>
      <c r="D174" s="3" t="s">
        <v>1958</v>
      </c>
      <c r="E174" s="3" t="s">
        <v>1589</v>
      </c>
      <c r="F174" s="3" t="s">
        <v>1960</v>
      </c>
      <c r="G174" s="3" t="s">
        <v>1591</v>
      </c>
      <c r="H174" s="3" t="s">
        <v>1592</v>
      </c>
      <c r="I174" s="3" t="s">
        <v>1959</v>
      </c>
      <c r="J174" s="4">
        <v>1</v>
      </c>
      <c r="K174" s="4">
        <v>19.367</v>
      </c>
      <c r="L174" s="4">
        <v>5</v>
      </c>
      <c r="M174" s="4">
        <v>1</v>
      </c>
      <c r="N174" s="5">
        <v>1311168</v>
      </c>
      <c r="O174" s="5">
        <v>0</v>
      </c>
      <c r="P174" s="5">
        <v>6812</v>
      </c>
      <c r="Q174" s="5">
        <v>0</v>
      </c>
      <c r="R174" s="5">
        <v>0</v>
      </c>
      <c r="S174" s="5">
        <v>0</v>
      </c>
      <c r="T174" s="5">
        <f t="shared" si="19"/>
        <v>1317980</v>
      </c>
      <c r="U174" s="5">
        <v>279209</v>
      </c>
      <c r="V174" s="5">
        <v>0</v>
      </c>
      <c r="W174" s="5">
        <v>0</v>
      </c>
      <c r="X174" s="5">
        <v>0</v>
      </c>
      <c r="Y174" s="5">
        <v>1597189</v>
      </c>
      <c r="Z174" s="5">
        <f t="shared" si="20"/>
        <v>1597189</v>
      </c>
      <c r="AA174" s="20">
        <f t="shared" si="21"/>
        <v>0</v>
      </c>
    </row>
    <row r="175" spans="1:27" ht="12.75">
      <c r="A175" s="3" t="s">
        <v>1936</v>
      </c>
      <c r="B175" s="3" t="s">
        <v>1669</v>
      </c>
      <c r="C175" s="3" t="s">
        <v>1670</v>
      </c>
      <c r="D175" s="3" t="s">
        <v>1961</v>
      </c>
      <c r="E175" s="21" t="s">
        <v>1589</v>
      </c>
      <c r="F175" s="21" t="s">
        <v>1963</v>
      </c>
      <c r="G175" s="21" t="s">
        <v>1591</v>
      </c>
      <c r="H175" s="21" t="s">
        <v>1592</v>
      </c>
      <c r="I175" s="3" t="s">
        <v>1962</v>
      </c>
      <c r="J175" s="16">
        <v>2</v>
      </c>
      <c r="K175" s="16">
        <v>10</v>
      </c>
      <c r="L175" s="16">
        <v>3</v>
      </c>
      <c r="M175" s="16">
        <v>3</v>
      </c>
      <c r="N175" s="12">
        <v>792296</v>
      </c>
      <c r="O175" s="12">
        <v>0</v>
      </c>
      <c r="P175" s="12">
        <v>18210</v>
      </c>
      <c r="Q175" s="12">
        <v>60669</v>
      </c>
      <c r="R175" s="12">
        <v>0</v>
      </c>
      <c r="S175" s="12">
        <v>0</v>
      </c>
      <c r="T175" s="5">
        <f t="shared" si="19"/>
        <v>871175</v>
      </c>
      <c r="U175" s="12">
        <v>46301</v>
      </c>
      <c r="V175" s="12">
        <v>0</v>
      </c>
      <c r="W175" s="12">
        <v>0</v>
      </c>
      <c r="X175" s="12">
        <v>0</v>
      </c>
      <c r="Y175" s="12">
        <v>917476</v>
      </c>
      <c r="Z175" s="5">
        <f t="shared" si="20"/>
        <v>917476</v>
      </c>
      <c r="AA175" s="20">
        <f t="shared" si="21"/>
        <v>0</v>
      </c>
    </row>
    <row r="176" spans="1:27" ht="13.5" thickBot="1">
      <c r="A176" s="3" t="s">
        <v>1936</v>
      </c>
      <c r="B176" s="3" t="s">
        <v>1669</v>
      </c>
      <c r="C176" s="3" t="s">
        <v>1670</v>
      </c>
      <c r="D176" s="3" t="s">
        <v>2008</v>
      </c>
      <c r="E176" s="21" t="s">
        <v>1589</v>
      </c>
      <c r="F176" s="21" t="s">
        <v>2010</v>
      </c>
      <c r="G176" s="21" t="s">
        <v>1591</v>
      </c>
      <c r="H176" s="21" t="s">
        <v>1592</v>
      </c>
      <c r="I176" s="3" t="s">
        <v>2009</v>
      </c>
      <c r="J176" s="6">
        <v>0</v>
      </c>
      <c r="K176" s="6">
        <v>0</v>
      </c>
      <c r="L176" s="6">
        <v>0</v>
      </c>
      <c r="M176" s="6">
        <v>1</v>
      </c>
      <c r="N176" s="7">
        <v>41604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f t="shared" si="19"/>
        <v>41604</v>
      </c>
      <c r="U176" s="7">
        <f>SUM(S176:S176)</f>
        <v>0</v>
      </c>
      <c r="V176" s="7">
        <v>0</v>
      </c>
      <c r="W176" s="7">
        <v>0</v>
      </c>
      <c r="X176" s="7">
        <v>0</v>
      </c>
      <c r="Y176" s="7">
        <v>41604</v>
      </c>
      <c r="Z176" s="7">
        <f t="shared" si="20"/>
        <v>41604</v>
      </c>
      <c r="AA176" s="20">
        <f t="shared" si="21"/>
        <v>0</v>
      </c>
    </row>
    <row r="177" spans="5:27" ht="12.75">
      <c r="E177" s="21"/>
      <c r="F177" s="21"/>
      <c r="G177" s="21"/>
      <c r="H177" s="21"/>
      <c r="I177" s="3" t="s">
        <v>144</v>
      </c>
      <c r="J177" s="16">
        <f aca="true" t="shared" si="24" ref="J177:Y177">SUM(J167:J176)</f>
        <v>5</v>
      </c>
      <c r="K177" s="16">
        <f t="shared" si="24"/>
        <v>55.669</v>
      </c>
      <c r="L177" s="16">
        <f t="shared" si="24"/>
        <v>17</v>
      </c>
      <c r="M177" s="16">
        <f t="shared" si="24"/>
        <v>18</v>
      </c>
      <c r="N177" s="12">
        <f t="shared" si="24"/>
        <v>4253276</v>
      </c>
      <c r="O177" s="12">
        <f t="shared" si="24"/>
        <v>0</v>
      </c>
      <c r="P177" s="12">
        <f t="shared" si="24"/>
        <v>327484</v>
      </c>
      <c r="Q177" s="12">
        <f t="shared" si="24"/>
        <v>130023</v>
      </c>
      <c r="R177" s="12">
        <f t="shared" si="24"/>
        <v>0</v>
      </c>
      <c r="S177" s="12">
        <f t="shared" si="24"/>
        <v>0</v>
      </c>
      <c r="T177" s="12">
        <f t="shared" si="24"/>
        <v>4710783</v>
      </c>
      <c r="U177" s="12">
        <f t="shared" si="24"/>
        <v>1037841</v>
      </c>
      <c r="V177" s="12">
        <f t="shared" si="24"/>
        <v>0</v>
      </c>
      <c r="W177" s="12">
        <f t="shared" si="24"/>
        <v>0</v>
      </c>
      <c r="X177" s="12">
        <f t="shared" si="24"/>
        <v>6010</v>
      </c>
      <c r="Y177" s="12">
        <f t="shared" si="24"/>
        <v>5754634</v>
      </c>
      <c r="Z177" s="5">
        <f t="shared" si="20"/>
        <v>5754634</v>
      </c>
      <c r="AA177" s="20">
        <f t="shared" si="21"/>
        <v>0</v>
      </c>
    </row>
    <row r="178" spans="5:27" ht="12.75">
      <c r="E178" s="21"/>
      <c r="F178" s="21"/>
      <c r="G178" s="21"/>
      <c r="H178" s="21"/>
      <c r="J178" s="16"/>
      <c r="K178" s="16"/>
      <c r="L178" s="16"/>
      <c r="M178" s="16"/>
      <c r="N178" s="12"/>
      <c r="O178" s="12"/>
      <c r="P178" s="12"/>
      <c r="Q178" s="12"/>
      <c r="R178" s="12"/>
      <c r="S178" s="12"/>
      <c r="T178" s="5" t="s">
        <v>2540</v>
      </c>
      <c r="U178" s="12"/>
      <c r="V178" s="12"/>
      <c r="W178" s="12"/>
      <c r="X178" s="12"/>
      <c r="Y178" s="12"/>
      <c r="Z178" s="5" t="s">
        <v>2540</v>
      </c>
      <c r="AA178" s="20" t="s">
        <v>2540</v>
      </c>
    </row>
    <row r="179" spans="5:27" ht="12.75">
      <c r="E179" s="21"/>
      <c r="F179" s="21"/>
      <c r="G179" s="21"/>
      <c r="H179" s="21"/>
      <c r="I179" s="3" t="s">
        <v>145</v>
      </c>
      <c r="J179" s="16"/>
      <c r="K179" s="16"/>
      <c r="L179" s="16"/>
      <c r="M179" s="16"/>
      <c r="N179" s="12"/>
      <c r="O179" s="12"/>
      <c r="P179" s="12"/>
      <c r="Q179" s="12"/>
      <c r="R179" s="12"/>
      <c r="S179" s="12"/>
      <c r="T179" s="5" t="s">
        <v>2540</v>
      </c>
      <c r="U179" s="12"/>
      <c r="V179" s="12"/>
      <c r="W179" s="12"/>
      <c r="X179" s="12"/>
      <c r="Y179" s="12"/>
      <c r="Z179" s="5" t="s">
        <v>2540</v>
      </c>
      <c r="AA179" s="20" t="s">
        <v>2540</v>
      </c>
    </row>
    <row r="180" spans="5:27" ht="12.75">
      <c r="E180" s="21"/>
      <c r="F180" s="21"/>
      <c r="G180" s="21"/>
      <c r="H180" s="21"/>
      <c r="J180" s="16"/>
      <c r="K180" s="16"/>
      <c r="L180" s="16"/>
      <c r="M180" s="16"/>
      <c r="N180" s="12"/>
      <c r="O180" s="12"/>
      <c r="P180" s="12"/>
      <c r="Q180" s="12"/>
      <c r="R180" s="12"/>
      <c r="S180" s="12"/>
      <c r="T180" s="5" t="s">
        <v>2540</v>
      </c>
      <c r="U180" s="12"/>
      <c r="V180" s="12"/>
      <c r="W180" s="12"/>
      <c r="X180" s="12"/>
      <c r="Y180" s="12"/>
      <c r="Z180" s="5" t="s">
        <v>2540</v>
      </c>
      <c r="AA180" s="20" t="s">
        <v>2540</v>
      </c>
    </row>
    <row r="181" spans="1:27" ht="13.5" thickBot="1">
      <c r="A181" s="3" t="s">
        <v>1964</v>
      </c>
      <c r="B181" s="3" t="s">
        <v>1669</v>
      </c>
      <c r="C181" s="3" t="s">
        <v>1670</v>
      </c>
      <c r="D181" s="3" t="s">
        <v>1965</v>
      </c>
      <c r="E181" s="21" t="s">
        <v>1589</v>
      </c>
      <c r="F181" s="21" t="s">
        <v>1967</v>
      </c>
      <c r="G181" s="21" t="s">
        <v>1591</v>
      </c>
      <c r="H181" s="21" t="s">
        <v>1592</v>
      </c>
      <c r="I181" s="3" t="s">
        <v>1966</v>
      </c>
      <c r="J181" s="6">
        <v>1</v>
      </c>
      <c r="K181" s="6">
        <v>17</v>
      </c>
      <c r="L181" s="6">
        <v>8</v>
      </c>
      <c r="M181" s="6">
        <v>0</v>
      </c>
      <c r="N181" s="7">
        <v>1476192</v>
      </c>
      <c r="O181" s="7">
        <v>0</v>
      </c>
      <c r="P181" s="7">
        <v>23289</v>
      </c>
      <c r="Q181" s="7">
        <v>16358</v>
      </c>
      <c r="R181" s="7">
        <v>0</v>
      </c>
      <c r="S181" s="7">
        <v>0</v>
      </c>
      <c r="T181" s="7">
        <f t="shared" si="19"/>
        <v>1515839</v>
      </c>
      <c r="U181" s="7">
        <v>130584</v>
      </c>
      <c r="V181" s="7">
        <v>0</v>
      </c>
      <c r="W181" s="7">
        <v>18000</v>
      </c>
      <c r="X181" s="7">
        <v>0</v>
      </c>
      <c r="Y181" s="7">
        <v>1664423</v>
      </c>
      <c r="Z181" s="7">
        <f t="shared" si="20"/>
        <v>1664423</v>
      </c>
      <c r="AA181" s="20">
        <f t="shared" si="21"/>
        <v>0</v>
      </c>
    </row>
    <row r="182" spans="5:27" ht="12.75">
      <c r="E182" s="21"/>
      <c r="F182" s="21"/>
      <c r="G182" s="21"/>
      <c r="H182" s="21"/>
      <c r="I182" s="3" t="s">
        <v>146</v>
      </c>
      <c r="J182" s="4">
        <f aca="true" t="shared" si="25" ref="J182:Y182">+J181</f>
        <v>1</v>
      </c>
      <c r="K182" s="4">
        <f t="shared" si="25"/>
        <v>17</v>
      </c>
      <c r="L182" s="4">
        <f t="shared" si="25"/>
        <v>8</v>
      </c>
      <c r="M182" s="4">
        <f t="shared" si="25"/>
        <v>0</v>
      </c>
      <c r="N182" s="5">
        <f t="shared" si="25"/>
        <v>1476192</v>
      </c>
      <c r="O182" s="5">
        <f t="shared" si="25"/>
        <v>0</v>
      </c>
      <c r="P182" s="5">
        <f t="shared" si="25"/>
        <v>23289</v>
      </c>
      <c r="Q182" s="5">
        <f t="shared" si="25"/>
        <v>16358</v>
      </c>
      <c r="R182" s="5">
        <f t="shared" si="25"/>
        <v>0</v>
      </c>
      <c r="S182" s="5">
        <f t="shared" si="25"/>
        <v>0</v>
      </c>
      <c r="T182" s="5">
        <f t="shared" si="25"/>
        <v>1515839</v>
      </c>
      <c r="U182" s="5">
        <f t="shared" si="25"/>
        <v>130584</v>
      </c>
      <c r="V182" s="5">
        <f t="shared" si="25"/>
        <v>0</v>
      </c>
      <c r="W182" s="5">
        <f t="shared" si="25"/>
        <v>18000</v>
      </c>
      <c r="X182" s="5">
        <f t="shared" si="25"/>
        <v>0</v>
      </c>
      <c r="Y182" s="5">
        <f t="shared" si="25"/>
        <v>1664423</v>
      </c>
      <c r="Z182" s="5">
        <f t="shared" si="20"/>
        <v>1664423</v>
      </c>
      <c r="AA182" s="20">
        <f t="shared" si="21"/>
        <v>0</v>
      </c>
    </row>
    <row r="183" spans="10:27" ht="12.75">
      <c r="J183" s="4"/>
      <c r="K183" s="4"/>
      <c r="L183" s="4"/>
      <c r="M183" s="4"/>
      <c r="N183" s="5"/>
      <c r="O183" s="5"/>
      <c r="P183" s="5"/>
      <c r="Q183" s="5"/>
      <c r="R183" s="5"/>
      <c r="S183" s="5"/>
      <c r="T183" s="5" t="s">
        <v>2540</v>
      </c>
      <c r="U183" s="5"/>
      <c r="V183" s="5"/>
      <c r="W183" s="5"/>
      <c r="X183" s="5"/>
      <c r="Y183" s="5"/>
      <c r="Z183" s="5" t="s">
        <v>2540</v>
      </c>
      <c r="AA183" s="20" t="s">
        <v>2540</v>
      </c>
    </row>
    <row r="184" spans="9:27" ht="12.75">
      <c r="I184" s="3" t="s">
        <v>147</v>
      </c>
      <c r="J184" s="4"/>
      <c r="K184" s="4"/>
      <c r="L184" s="4"/>
      <c r="M184" s="4"/>
      <c r="N184" s="5"/>
      <c r="O184" s="5"/>
      <c r="P184" s="5"/>
      <c r="Q184" s="5"/>
      <c r="R184" s="5"/>
      <c r="S184" s="5"/>
      <c r="T184" s="5" t="s">
        <v>2142</v>
      </c>
      <c r="U184" s="5"/>
      <c r="V184" s="5"/>
      <c r="W184" s="5"/>
      <c r="X184" s="5"/>
      <c r="Y184" s="5"/>
      <c r="Z184" s="5" t="s">
        <v>2540</v>
      </c>
      <c r="AA184" s="20" t="s">
        <v>2540</v>
      </c>
    </row>
    <row r="185" spans="10:27" ht="12.75">
      <c r="J185" s="4"/>
      <c r="K185" s="4"/>
      <c r="L185" s="4"/>
      <c r="M185" s="4"/>
      <c r="N185" s="5"/>
      <c r="O185" s="5"/>
      <c r="P185" s="5"/>
      <c r="Q185" s="5"/>
      <c r="R185" s="5"/>
      <c r="S185" s="5"/>
      <c r="T185" s="5" t="s">
        <v>2540</v>
      </c>
      <c r="U185" s="5"/>
      <c r="V185" s="5"/>
      <c r="W185" s="5"/>
      <c r="X185" s="5"/>
      <c r="Y185" s="5"/>
      <c r="Z185" s="5" t="s">
        <v>2540</v>
      </c>
      <c r="AA185" s="20" t="s">
        <v>2540</v>
      </c>
    </row>
    <row r="186" spans="1:27" ht="12.75">
      <c r="A186" s="3" t="s">
        <v>1968</v>
      </c>
      <c r="B186" s="3" t="s">
        <v>1669</v>
      </c>
      <c r="C186" s="3" t="s">
        <v>1670</v>
      </c>
      <c r="D186" s="3" t="s">
        <v>1969</v>
      </c>
      <c r="E186" s="3" t="s">
        <v>1589</v>
      </c>
      <c r="F186" s="3" t="s">
        <v>1971</v>
      </c>
      <c r="G186" s="3" t="s">
        <v>1591</v>
      </c>
      <c r="H186" s="3" t="s">
        <v>1592</v>
      </c>
      <c r="I186" s="3" t="s">
        <v>2351</v>
      </c>
      <c r="J186" s="4">
        <v>2</v>
      </c>
      <c r="K186" s="4">
        <v>0</v>
      </c>
      <c r="L186" s="4">
        <v>1</v>
      </c>
      <c r="M186" s="4">
        <v>0</v>
      </c>
      <c r="N186" s="5">
        <v>192384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f t="shared" si="19"/>
        <v>192384</v>
      </c>
      <c r="U186" s="5">
        <v>39500</v>
      </c>
      <c r="V186" s="5">
        <v>0</v>
      </c>
      <c r="W186" s="5">
        <v>0</v>
      </c>
      <c r="X186" s="5">
        <v>0</v>
      </c>
      <c r="Y186" s="5">
        <v>231884</v>
      </c>
      <c r="Z186" s="5">
        <f t="shared" si="20"/>
        <v>231884</v>
      </c>
      <c r="AA186" s="20">
        <f t="shared" si="21"/>
        <v>0</v>
      </c>
    </row>
    <row r="187" spans="1:27" ht="12.75">
      <c r="A187" s="3" t="s">
        <v>1968</v>
      </c>
      <c r="B187" s="3" t="s">
        <v>1669</v>
      </c>
      <c r="C187" s="3" t="s">
        <v>1670</v>
      </c>
      <c r="D187" s="3" t="s">
        <v>1975</v>
      </c>
      <c r="E187" s="3" t="s">
        <v>1589</v>
      </c>
      <c r="F187" s="3" t="s">
        <v>1977</v>
      </c>
      <c r="G187" s="3" t="s">
        <v>1591</v>
      </c>
      <c r="H187" s="3" t="s">
        <v>1592</v>
      </c>
      <c r="I187" s="3" t="s">
        <v>1976</v>
      </c>
      <c r="J187" s="4">
        <v>0</v>
      </c>
      <c r="K187" s="4">
        <v>0</v>
      </c>
      <c r="L187" s="4">
        <v>6.745</v>
      </c>
      <c r="M187" s="4">
        <v>0</v>
      </c>
      <c r="N187" s="5">
        <v>180591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f t="shared" si="19"/>
        <v>180591</v>
      </c>
      <c r="U187" s="5">
        <f>SUM(S187:S187)</f>
        <v>0</v>
      </c>
      <c r="V187" s="5">
        <v>0</v>
      </c>
      <c r="W187" s="5">
        <v>0</v>
      </c>
      <c r="X187" s="5">
        <v>0</v>
      </c>
      <c r="Y187" s="5">
        <v>180591</v>
      </c>
      <c r="Z187" s="5">
        <f t="shared" si="20"/>
        <v>180591</v>
      </c>
      <c r="AA187" s="20">
        <f t="shared" si="21"/>
        <v>0</v>
      </c>
    </row>
    <row r="188" spans="1:27" ht="12.75">
      <c r="A188" s="3" t="s">
        <v>1968</v>
      </c>
      <c r="B188" s="3" t="s">
        <v>1669</v>
      </c>
      <c r="C188" s="3" t="s">
        <v>1670</v>
      </c>
      <c r="D188" s="3" t="s">
        <v>1978</v>
      </c>
      <c r="E188" s="3" t="s">
        <v>1589</v>
      </c>
      <c r="F188" s="3" t="s">
        <v>1980</v>
      </c>
      <c r="G188" s="3" t="s">
        <v>1591</v>
      </c>
      <c r="H188" s="3" t="s">
        <v>1592</v>
      </c>
      <c r="I188" s="3" t="s">
        <v>1979</v>
      </c>
      <c r="J188" s="4">
        <v>0</v>
      </c>
      <c r="K188" s="4">
        <v>2</v>
      </c>
      <c r="L188" s="4">
        <v>14.5</v>
      </c>
      <c r="M188" s="4">
        <v>6</v>
      </c>
      <c r="N188" s="5">
        <v>686502</v>
      </c>
      <c r="O188" s="5">
        <v>0</v>
      </c>
      <c r="P188" s="5">
        <v>15757</v>
      </c>
      <c r="Q188" s="5">
        <v>0</v>
      </c>
      <c r="R188" s="5">
        <v>0</v>
      </c>
      <c r="S188" s="5">
        <v>0</v>
      </c>
      <c r="T188" s="5">
        <f t="shared" si="19"/>
        <v>702259</v>
      </c>
      <c r="U188" s="5">
        <v>45781</v>
      </c>
      <c r="V188" s="5">
        <v>0</v>
      </c>
      <c r="W188" s="5">
        <v>0</v>
      </c>
      <c r="X188" s="5">
        <v>0</v>
      </c>
      <c r="Y188" s="5">
        <v>748040</v>
      </c>
      <c r="Z188" s="5">
        <f t="shared" si="20"/>
        <v>748040</v>
      </c>
      <c r="AA188" s="20">
        <f t="shared" si="21"/>
        <v>0</v>
      </c>
    </row>
    <row r="189" spans="1:27" ht="13.5" thickBot="1">
      <c r="A189" s="3" t="s">
        <v>1968</v>
      </c>
      <c r="B189" s="3" t="s">
        <v>1669</v>
      </c>
      <c r="C189" s="3" t="s">
        <v>1670</v>
      </c>
      <c r="D189" s="3" t="s">
        <v>1984</v>
      </c>
      <c r="E189" s="3" t="s">
        <v>1589</v>
      </c>
      <c r="F189" s="3" t="s">
        <v>1986</v>
      </c>
      <c r="G189" s="3" t="s">
        <v>1591</v>
      </c>
      <c r="H189" s="3" t="s">
        <v>1592</v>
      </c>
      <c r="I189" s="3" t="s">
        <v>1985</v>
      </c>
      <c r="J189" s="6">
        <v>0</v>
      </c>
      <c r="K189" s="6">
        <v>1.9140000000000001</v>
      </c>
      <c r="L189" s="6">
        <v>1</v>
      </c>
      <c r="M189" s="6">
        <v>5</v>
      </c>
      <c r="N189" s="7">
        <v>264660</v>
      </c>
      <c r="O189" s="7">
        <v>0</v>
      </c>
      <c r="P189" s="7">
        <v>9179</v>
      </c>
      <c r="Q189" s="7">
        <v>0</v>
      </c>
      <c r="R189" s="7">
        <v>0</v>
      </c>
      <c r="S189" s="7">
        <v>0</v>
      </c>
      <c r="T189" s="7">
        <f t="shared" si="19"/>
        <v>273839</v>
      </c>
      <c r="U189" s="7">
        <v>42145</v>
      </c>
      <c r="V189" s="7">
        <v>0</v>
      </c>
      <c r="W189" s="7">
        <v>0</v>
      </c>
      <c r="X189" s="7">
        <v>0</v>
      </c>
      <c r="Y189" s="7">
        <v>315984</v>
      </c>
      <c r="Z189" s="7">
        <f t="shared" si="20"/>
        <v>315984</v>
      </c>
      <c r="AA189" s="20">
        <f t="shared" si="21"/>
        <v>0</v>
      </c>
    </row>
    <row r="190" spans="9:27" ht="12.75">
      <c r="I190" s="3" t="s">
        <v>2929</v>
      </c>
      <c r="J190" s="4">
        <f aca="true" t="shared" si="26" ref="J190:Y190">SUM(J186:J189)</f>
        <v>2</v>
      </c>
      <c r="K190" s="4">
        <f t="shared" si="26"/>
        <v>3.914</v>
      </c>
      <c r="L190" s="4">
        <f t="shared" si="26"/>
        <v>23.245</v>
      </c>
      <c r="M190" s="4">
        <f t="shared" si="26"/>
        <v>11</v>
      </c>
      <c r="N190" s="5">
        <f t="shared" si="26"/>
        <v>1324137</v>
      </c>
      <c r="O190" s="5">
        <f t="shared" si="26"/>
        <v>0</v>
      </c>
      <c r="P190" s="5">
        <f t="shared" si="26"/>
        <v>24936</v>
      </c>
      <c r="Q190" s="5">
        <f t="shared" si="26"/>
        <v>0</v>
      </c>
      <c r="R190" s="5">
        <f t="shared" si="26"/>
        <v>0</v>
      </c>
      <c r="S190" s="5">
        <f t="shared" si="26"/>
        <v>0</v>
      </c>
      <c r="T190" s="5">
        <f t="shared" si="26"/>
        <v>1349073</v>
      </c>
      <c r="U190" s="5">
        <f t="shared" si="26"/>
        <v>127426</v>
      </c>
      <c r="V190" s="5">
        <f t="shared" si="26"/>
        <v>0</v>
      </c>
      <c r="W190" s="5">
        <f t="shared" si="26"/>
        <v>0</v>
      </c>
      <c r="X190" s="5">
        <f t="shared" si="26"/>
        <v>0</v>
      </c>
      <c r="Y190" s="5">
        <f t="shared" si="26"/>
        <v>1476499</v>
      </c>
      <c r="Z190" s="5">
        <f t="shared" si="20"/>
        <v>1476499</v>
      </c>
      <c r="AA190" s="20">
        <f t="shared" si="21"/>
        <v>0</v>
      </c>
    </row>
    <row r="191" spans="10:27" ht="12.75">
      <c r="J191" s="4"/>
      <c r="K191" s="4"/>
      <c r="L191" s="4"/>
      <c r="M191" s="4"/>
      <c r="N191" s="5"/>
      <c r="O191" s="5"/>
      <c r="P191" s="5"/>
      <c r="Q191" s="5"/>
      <c r="R191" s="5"/>
      <c r="S191" s="5"/>
      <c r="T191" s="5" t="s">
        <v>2540</v>
      </c>
      <c r="U191" s="5"/>
      <c r="V191" s="5"/>
      <c r="W191" s="5"/>
      <c r="X191" s="5"/>
      <c r="Y191" s="5"/>
      <c r="Z191" s="5" t="s">
        <v>2540</v>
      </c>
      <c r="AA191" s="20" t="s">
        <v>2540</v>
      </c>
    </row>
    <row r="192" spans="9:27" ht="12.75">
      <c r="I192" s="3" t="s">
        <v>148</v>
      </c>
      <c r="J192" s="4"/>
      <c r="K192" s="4"/>
      <c r="L192" s="4"/>
      <c r="M192" s="4"/>
      <c r="N192" s="5"/>
      <c r="O192" s="5"/>
      <c r="P192" s="5"/>
      <c r="Q192" s="5"/>
      <c r="R192" s="5"/>
      <c r="S192" s="5"/>
      <c r="T192" s="5" t="s">
        <v>2142</v>
      </c>
      <c r="U192" s="5"/>
      <c r="V192" s="5"/>
      <c r="W192" s="5"/>
      <c r="X192" s="5"/>
      <c r="Y192" s="5"/>
      <c r="Z192" s="5" t="s">
        <v>2540</v>
      </c>
      <c r="AA192" s="20" t="s">
        <v>2540</v>
      </c>
    </row>
    <row r="193" spans="10:27" ht="12.75">
      <c r="J193" s="4"/>
      <c r="K193" s="4"/>
      <c r="L193" s="4"/>
      <c r="M193" s="4"/>
      <c r="N193" s="5"/>
      <c r="O193" s="5"/>
      <c r="P193" s="5"/>
      <c r="Q193" s="5"/>
      <c r="R193" s="5"/>
      <c r="S193" s="5"/>
      <c r="T193" s="5" t="s">
        <v>2540</v>
      </c>
      <c r="U193" s="5"/>
      <c r="V193" s="5"/>
      <c r="W193" s="5"/>
      <c r="X193" s="5"/>
      <c r="Y193" s="5"/>
      <c r="Z193" s="5" t="s">
        <v>2540</v>
      </c>
      <c r="AA193" s="20" t="s">
        <v>2540</v>
      </c>
    </row>
    <row r="194" spans="1:27" ht="13.5" thickBot="1">
      <c r="A194" s="3" t="s">
        <v>1842</v>
      </c>
      <c r="B194" s="3" t="s">
        <v>1669</v>
      </c>
      <c r="C194" s="3" t="s">
        <v>1670</v>
      </c>
      <c r="D194" s="3" t="s">
        <v>1981</v>
      </c>
      <c r="E194" s="3" t="s">
        <v>1589</v>
      </c>
      <c r="F194" s="3" t="s">
        <v>1983</v>
      </c>
      <c r="G194" s="3" t="s">
        <v>1591</v>
      </c>
      <c r="H194" s="3" t="s">
        <v>1592</v>
      </c>
      <c r="I194" s="3" t="s">
        <v>1982</v>
      </c>
      <c r="J194" s="6">
        <v>2</v>
      </c>
      <c r="K194" s="6">
        <v>7</v>
      </c>
      <c r="L194" s="6">
        <v>7.5</v>
      </c>
      <c r="M194" s="6">
        <v>2</v>
      </c>
      <c r="N194" s="7">
        <v>755532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f t="shared" si="19"/>
        <v>755532</v>
      </c>
      <c r="U194" s="7">
        <v>6307</v>
      </c>
      <c r="V194" s="7">
        <v>0</v>
      </c>
      <c r="W194" s="7">
        <v>0</v>
      </c>
      <c r="X194" s="7">
        <v>0</v>
      </c>
      <c r="Y194" s="7">
        <v>761839</v>
      </c>
      <c r="Z194" s="7">
        <f t="shared" si="20"/>
        <v>761839</v>
      </c>
      <c r="AA194" s="20">
        <f t="shared" si="21"/>
        <v>0</v>
      </c>
    </row>
    <row r="195" spans="9:27" ht="12.75">
      <c r="I195" s="3" t="s">
        <v>149</v>
      </c>
      <c r="J195" s="22">
        <f aca="true" t="shared" si="27" ref="J195:Y195">+J194</f>
        <v>2</v>
      </c>
      <c r="K195" s="22">
        <f t="shared" si="27"/>
        <v>7</v>
      </c>
      <c r="L195" s="22">
        <f t="shared" si="27"/>
        <v>7.5</v>
      </c>
      <c r="M195" s="22">
        <f t="shared" si="27"/>
        <v>2</v>
      </c>
      <c r="N195" s="5">
        <f t="shared" si="27"/>
        <v>755532</v>
      </c>
      <c r="O195" s="5">
        <f t="shared" si="27"/>
        <v>0</v>
      </c>
      <c r="P195" s="5">
        <f t="shared" si="27"/>
        <v>0</v>
      </c>
      <c r="Q195" s="5">
        <f t="shared" si="27"/>
        <v>0</v>
      </c>
      <c r="R195" s="5">
        <f t="shared" si="27"/>
        <v>0</v>
      </c>
      <c r="S195" s="5">
        <f t="shared" si="27"/>
        <v>0</v>
      </c>
      <c r="T195" s="5">
        <f t="shared" si="27"/>
        <v>755532</v>
      </c>
      <c r="U195" s="5">
        <f t="shared" si="27"/>
        <v>6307</v>
      </c>
      <c r="V195" s="5">
        <f t="shared" si="27"/>
        <v>0</v>
      </c>
      <c r="W195" s="5">
        <f t="shared" si="27"/>
        <v>0</v>
      </c>
      <c r="X195" s="5">
        <f t="shared" si="27"/>
        <v>0</v>
      </c>
      <c r="Y195" s="5">
        <f t="shared" si="27"/>
        <v>761839</v>
      </c>
      <c r="Z195" s="5">
        <f t="shared" si="20"/>
        <v>761839</v>
      </c>
      <c r="AA195" s="20">
        <f t="shared" si="21"/>
        <v>0</v>
      </c>
    </row>
    <row r="196" spans="14:27" ht="12.75">
      <c r="N196" s="5"/>
      <c r="O196" s="5"/>
      <c r="P196" s="5"/>
      <c r="Q196" s="5"/>
      <c r="R196" s="5"/>
      <c r="S196" s="5"/>
      <c r="T196" s="5" t="s">
        <v>2540</v>
      </c>
      <c r="U196" s="5"/>
      <c r="V196" s="5"/>
      <c r="W196" s="5"/>
      <c r="X196" s="5"/>
      <c r="Y196" s="5"/>
      <c r="Z196" s="5" t="s">
        <v>2540</v>
      </c>
      <c r="AA196" s="20" t="s">
        <v>2540</v>
      </c>
    </row>
    <row r="197" spans="9:27" ht="12.75">
      <c r="I197" s="3" t="s">
        <v>150</v>
      </c>
      <c r="N197" s="5"/>
      <c r="O197" s="5"/>
      <c r="P197" s="5"/>
      <c r="Q197" s="5"/>
      <c r="R197" s="5"/>
      <c r="S197" s="5"/>
      <c r="T197" s="5" t="s">
        <v>2540</v>
      </c>
      <c r="U197" s="5"/>
      <c r="V197" s="5"/>
      <c r="W197" s="5"/>
      <c r="X197" s="5"/>
      <c r="Y197" s="5"/>
      <c r="Z197" s="5" t="s">
        <v>2540</v>
      </c>
      <c r="AA197" s="20" t="s">
        <v>2540</v>
      </c>
    </row>
    <row r="198" spans="14:27" ht="12.75">
      <c r="N198" s="5"/>
      <c r="O198" s="5"/>
      <c r="P198" s="5"/>
      <c r="Q198" s="5"/>
      <c r="R198" s="5"/>
      <c r="S198" s="5"/>
      <c r="T198" s="5" t="s">
        <v>2540</v>
      </c>
      <c r="U198" s="5"/>
      <c r="V198" s="5"/>
      <c r="W198" s="5"/>
      <c r="X198" s="5"/>
      <c r="Y198" s="5"/>
      <c r="Z198" s="5" t="s">
        <v>2540</v>
      </c>
      <c r="AA198" s="20" t="s">
        <v>2540</v>
      </c>
    </row>
    <row r="199" spans="1:27" ht="12.75">
      <c r="A199" s="3" t="s">
        <v>1968</v>
      </c>
      <c r="B199" s="3" t="s">
        <v>1669</v>
      </c>
      <c r="C199" s="3" t="s">
        <v>1670</v>
      </c>
      <c r="D199" s="3" t="s">
        <v>2002</v>
      </c>
      <c r="E199" s="3" t="s">
        <v>1589</v>
      </c>
      <c r="F199" s="3" t="s">
        <v>2004</v>
      </c>
      <c r="G199" s="3" t="s">
        <v>1591</v>
      </c>
      <c r="H199" s="3" t="s">
        <v>1592</v>
      </c>
      <c r="I199" s="3" t="s">
        <v>2003</v>
      </c>
      <c r="J199" s="4">
        <v>0</v>
      </c>
      <c r="K199" s="4">
        <v>0</v>
      </c>
      <c r="L199" s="4">
        <v>0.5</v>
      </c>
      <c r="M199" s="4">
        <v>0</v>
      </c>
      <c r="N199" s="5">
        <v>8112</v>
      </c>
      <c r="O199" s="5">
        <v>0</v>
      </c>
      <c r="P199" s="5">
        <v>70657</v>
      </c>
      <c r="Q199" s="5">
        <v>0</v>
      </c>
      <c r="R199" s="5">
        <v>0</v>
      </c>
      <c r="S199" s="5">
        <v>0</v>
      </c>
      <c r="T199" s="5">
        <f t="shared" si="19"/>
        <v>78769</v>
      </c>
      <c r="U199" s="5">
        <v>33141</v>
      </c>
      <c r="V199" s="5">
        <v>0</v>
      </c>
      <c r="W199" s="5">
        <v>0</v>
      </c>
      <c r="X199" s="5">
        <v>0</v>
      </c>
      <c r="Y199" s="5">
        <v>111910</v>
      </c>
      <c r="Z199" s="5">
        <f t="shared" si="20"/>
        <v>111910</v>
      </c>
      <c r="AA199" s="20">
        <f t="shared" si="21"/>
        <v>0</v>
      </c>
    </row>
    <row r="200" spans="1:27" ht="12.75">
      <c r="A200" s="3" t="s">
        <v>1968</v>
      </c>
      <c r="B200" s="3" t="s">
        <v>1669</v>
      </c>
      <c r="C200" s="3" t="s">
        <v>1670</v>
      </c>
      <c r="D200" s="3" t="s">
        <v>2005</v>
      </c>
      <c r="E200" s="3" t="s">
        <v>1589</v>
      </c>
      <c r="F200" s="3" t="s">
        <v>2007</v>
      </c>
      <c r="G200" s="3" t="s">
        <v>1591</v>
      </c>
      <c r="H200" s="3" t="s">
        <v>1592</v>
      </c>
      <c r="I200" s="3" t="s">
        <v>2006</v>
      </c>
      <c r="J200" s="4">
        <v>0</v>
      </c>
      <c r="K200" s="4">
        <v>0</v>
      </c>
      <c r="L200" s="4">
        <v>0</v>
      </c>
      <c r="M200" s="4">
        <v>0</v>
      </c>
      <c r="N200" s="5">
        <v>0</v>
      </c>
      <c r="O200" s="5">
        <v>0</v>
      </c>
      <c r="P200" s="5">
        <v>193992</v>
      </c>
      <c r="Q200" s="5">
        <v>0</v>
      </c>
      <c r="R200" s="5">
        <v>0</v>
      </c>
      <c r="S200" s="5">
        <v>0</v>
      </c>
      <c r="T200" s="5">
        <f t="shared" si="19"/>
        <v>193992</v>
      </c>
      <c r="U200" s="5">
        <f>SUM(S200:S200)</f>
        <v>0</v>
      </c>
      <c r="V200" s="5">
        <v>0</v>
      </c>
      <c r="W200" s="5">
        <v>0</v>
      </c>
      <c r="X200" s="5">
        <v>0</v>
      </c>
      <c r="Y200" s="5">
        <v>193992</v>
      </c>
      <c r="Z200" s="5">
        <f t="shared" si="20"/>
        <v>193992</v>
      </c>
      <c r="AA200" s="20">
        <f t="shared" si="21"/>
        <v>0</v>
      </c>
    </row>
    <row r="201" spans="1:27" ht="12.75">
      <c r="A201" s="3" t="s">
        <v>1968</v>
      </c>
      <c r="B201" s="3" t="s">
        <v>1669</v>
      </c>
      <c r="C201" s="3" t="s">
        <v>1670</v>
      </c>
      <c r="D201" s="3" t="s">
        <v>2011</v>
      </c>
      <c r="E201" s="3" t="s">
        <v>1589</v>
      </c>
      <c r="F201" s="3" t="s">
        <v>2013</v>
      </c>
      <c r="G201" s="3" t="s">
        <v>1591</v>
      </c>
      <c r="H201" s="3" t="s">
        <v>1592</v>
      </c>
      <c r="I201" s="3" t="s">
        <v>2012</v>
      </c>
      <c r="J201" s="4">
        <v>0</v>
      </c>
      <c r="K201" s="4">
        <v>0</v>
      </c>
      <c r="L201" s="4">
        <v>4.5</v>
      </c>
      <c r="M201" s="4">
        <v>0</v>
      </c>
      <c r="N201" s="5">
        <v>133416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f t="shared" si="19"/>
        <v>133416</v>
      </c>
      <c r="U201" s="5">
        <v>87946</v>
      </c>
      <c r="V201" s="5">
        <v>0</v>
      </c>
      <c r="W201" s="5">
        <v>0</v>
      </c>
      <c r="X201" s="5">
        <v>0</v>
      </c>
      <c r="Y201" s="5">
        <v>221362</v>
      </c>
      <c r="Z201" s="5">
        <f t="shared" si="20"/>
        <v>221362</v>
      </c>
      <c r="AA201" s="20">
        <f t="shared" si="21"/>
        <v>0</v>
      </c>
    </row>
    <row r="202" spans="1:27" ht="13.5" thickBot="1">
      <c r="A202" s="3" t="s">
        <v>1968</v>
      </c>
      <c r="B202" s="3" t="s">
        <v>1669</v>
      </c>
      <c r="C202" s="3" t="s">
        <v>1670</v>
      </c>
      <c r="D202" s="3" t="s">
        <v>2014</v>
      </c>
      <c r="E202" s="21" t="s">
        <v>1589</v>
      </c>
      <c r="F202" s="21" t="s">
        <v>2016</v>
      </c>
      <c r="G202" s="21" t="s">
        <v>1591</v>
      </c>
      <c r="H202" s="21" t="s">
        <v>1592</v>
      </c>
      <c r="I202" s="3" t="s">
        <v>2015</v>
      </c>
      <c r="J202" s="6">
        <v>0</v>
      </c>
      <c r="K202" s="6">
        <v>1</v>
      </c>
      <c r="L202" s="6">
        <v>3.43</v>
      </c>
      <c r="M202" s="6">
        <v>0</v>
      </c>
      <c r="N202" s="7">
        <v>111748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f aca="true" t="shared" si="28" ref="T202:T266">SUM(N202:R202)</f>
        <v>111748</v>
      </c>
      <c r="U202" s="7">
        <f>SUM(S202:S202)</f>
        <v>0</v>
      </c>
      <c r="V202" s="7">
        <v>0</v>
      </c>
      <c r="W202" s="7">
        <v>0</v>
      </c>
      <c r="X202" s="7">
        <v>0</v>
      </c>
      <c r="Y202" s="7">
        <v>111748</v>
      </c>
      <c r="Z202" s="7">
        <f aca="true" t="shared" si="29" ref="Z202:Z266">SUM(T202:X202)</f>
        <v>111748</v>
      </c>
      <c r="AA202" s="20">
        <f t="shared" si="21"/>
        <v>0</v>
      </c>
    </row>
    <row r="203" spans="9:27" ht="12.75">
      <c r="I203" s="3" t="s">
        <v>151</v>
      </c>
      <c r="J203" s="22">
        <f aca="true" t="shared" si="30" ref="J203:Y203">SUM(J199:J202)</f>
        <v>0</v>
      </c>
      <c r="K203" s="22">
        <f t="shared" si="30"/>
        <v>1</v>
      </c>
      <c r="L203" s="22">
        <f t="shared" si="30"/>
        <v>8.43</v>
      </c>
      <c r="M203" s="22">
        <f t="shared" si="30"/>
        <v>0</v>
      </c>
      <c r="N203" s="5">
        <f t="shared" si="30"/>
        <v>253276</v>
      </c>
      <c r="O203" s="5">
        <f t="shared" si="30"/>
        <v>0</v>
      </c>
      <c r="P203" s="5">
        <f t="shared" si="30"/>
        <v>264649</v>
      </c>
      <c r="Q203" s="5">
        <f t="shared" si="30"/>
        <v>0</v>
      </c>
      <c r="R203" s="5">
        <f t="shared" si="30"/>
        <v>0</v>
      </c>
      <c r="S203" s="5">
        <f t="shared" si="30"/>
        <v>0</v>
      </c>
      <c r="T203" s="5">
        <f t="shared" si="30"/>
        <v>517925</v>
      </c>
      <c r="U203" s="5">
        <f t="shared" si="30"/>
        <v>121087</v>
      </c>
      <c r="V203" s="5">
        <f t="shared" si="30"/>
        <v>0</v>
      </c>
      <c r="W203" s="5">
        <f t="shared" si="30"/>
        <v>0</v>
      </c>
      <c r="X203" s="5">
        <f t="shared" si="30"/>
        <v>0</v>
      </c>
      <c r="Y203" s="5">
        <f t="shared" si="30"/>
        <v>639012</v>
      </c>
      <c r="Z203" s="5">
        <f t="shared" si="20"/>
        <v>639012</v>
      </c>
      <c r="AA203" s="20">
        <f aca="true" t="shared" si="31" ref="AA203:AA267">+Y203-Z203</f>
        <v>0</v>
      </c>
    </row>
    <row r="204" spans="14:27" ht="12.75">
      <c r="N204" s="5"/>
      <c r="O204" s="5"/>
      <c r="P204" s="5"/>
      <c r="Q204" s="5"/>
      <c r="R204" s="5"/>
      <c r="S204" s="5"/>
      <c r="T204" s="5" t="s">
        <v>2540</v>
      </c>
      <c r="U204" s="5"/>
      <c r="V204" s="5"/>
      <c r="W204" s="5"/>
      <c r="X204" s="5"/>
      <c r="Y204" s="5"/>
      <c r="Z204" s="5" t="s">
        <v>2540</v>
      </c>
      <c r="AA204" s="20" t="s">
        <v>2540</v>
      </c>
    </row>
    <row r="205" spans="9:27" ht="12.75">
      <c r="I205" s="3" t="s">
        <v>152</v>
      </c>
      <c r="N205" s="5"/>
      <c r="O205" s="5"/>
      <c r="P205" s="5"/>
      <c r="Q205" s="5"/>
      <c r="R205" s="5"/>
      <c r="S205" s="5"/>
      <c r="T205" s="5" t="s">
        <v>2142</v>
      </c>
      <c r="U205" s="5"/>
      <c r="V205" s="5"/>
      <c r="W205" s="5"/>
      <c r="X205" s="5"/>
      <c r="Y205" s="5"/>
      <c r="Z205" s="5" t="s">
        <v>2540</v>
      </c>
      <c r="AA205" s="20" t="s">
        <v>2540</v>
      </c>
    </row>
    <row r="206" spans="14:27" ht="12.75">
      <c r="N206" s="5"/>
      <c r="O206" s="5"/>
      <c r="P206" s="5"/>
      <c r="Q206" s="5"/>
      <c r="R206" s="5"/>
      <c r="S206" s="5"/>
      <c r="T206" s="5" t="s">
        <v>2540</v>
      </c>
      <c r="U206" s="5"/>
      <c r="V206" s="5"/>
      <c r="W206" s="5"/>
      <c r="X206" s="5"/>
      <c r="Y206" s="5"/>
      <c r="Z206" s="5" t="s">
        <v>2540</v>
      </c>
      <c r="AA206" s="20" t="s">
        <v>2540</v>
      </c>
    </row>
    <row r="207" spans="1:27" ht="12.75">
      <c r="A207" s="3" t="s">
        <v>1936</v>
      </c>
      <c r="B207" s="3" t="s">
        <v>1669</v>
      </c>
      <c r="C207" s="3" t="s">
        <v>1670</v>
      </c>
      <c r="D207" s="3" t="s">
        <v>2017</v>
      </c>
      <c r="E207" s="3" t="s">
        <v>1589</v>
      </c>
      <c r="F207" s="3" t="s">
        <v>2019</v>
      </c>
      <c r="G207" s="3" t="s">
        <v>1591</v>
      </c>
      <c r="H207" s="3" t="s">
        <v>1592</v>
      </c>
      <c r="I207" s="3" t="s">
        <v>2090</v>
      </c>
      <c r="J207" s="4">
        <v>0.921</v>
      </c>
      <c r="K207" s="4">
        <v>5</v>
      </c>
      <c r="L207" s="4">
        <v>22</v>
      </c>
      <c r="M207" s="4">
        <v>20.755</v>
      </c>
      <c r="N207" s="5">
        <v>1844343</v>
      </c>
      <c r="O207" s="5">
        <v>0</v>
      </c>
      <c r="P207" s="5">
        <v>103399</v>
      </c>
      <c r="Q207" s="5">
        <v>0</v>
      </c>
      <c r="R207" s="5">
        <v>0</v>
      </c>
      <c r="S207" s="5">
        <v>0</v>
      </c>
      <c r="T207" s="5">
        <f t="shared" si="28"/>
        <v>1947742</v>
      </c>
      <c r="U207" s="5">
        <v>319155</v>
      </c>
      <c r="V207" s="5">
        <v>0</v>
      </c>
      <c r="W207" s="5">
        <v>0</v>
      </c>
      <c r="X207" s="5">
        <v>76853</v>
      </c>
      <c r="Y207" s="5">
        <v>2343750</v>
      </c>
      <c r="Z207" s="5">
        <f t="shared" si="29"/>
        <v>2343750</v>
      </c>
      <c r="AA207" s="20">
        <f t="shared" si="31"/>
        <v>0</v>
      </c>
    </row>
    <row r="208" spans="1:27" ht="13.5" thickBot="1">
      <c r="A208" s="3" t="s">
        <v>1936</v>
      </c>
      <c r="B208" s="3" t="s">
        <v>1669</v>
      </c>
      <c r="C208" s="3" t="s">
        <v>1670</v>
      </c>
      <c r="D208" s="3" t="s">
        <v>2020</v>
      </c>
      <c r="E208" s="21" t="s">
        <v>1589</v>
      </c>
      <c r="F208" s="21" t="s">
        <v>2022</v>
      </c>
      <c r="G208" s="21" t="s">
        <v>1591</v>
      </c>
      <c r="H208" s="21" t="s">
        <v>1592</v>
      </c>
      <c r="I208" s="3" t="s">
        <v>2021</v>
      </c>
      <c r="J208" s="6">
        <v>0.983</v>
      </c>
      <c r="K208" s="6">
        <v>5.475</v>
      </c>
      <c r="L208" s="6">
        <v>20</v>
      </c>
      <c r="M208" s="6">
        <v>13.822000000000001</v>
      </c>
      <c r="N208" s="7">
        <v>1531392</v>
      </c>
      <c r="O208" s="7">
        <v>0</v>
      </c>
      <c r="P208" s="7">
        <v>35215</v>
      </c>
      <c r="Q208" s="7">
        <v>0</v>
      </c>
      <c r="R208" s="7">
        <v>0</v>
      </c>
      <c r="S208" s="7">
        <v>0</v>
      </c>
      <c r="T208" s="7">
        <f t="shared" si="28"/>
        <v>1566607</v>
      </c>
      <c r="U208" s="7">
        <v>242515</v>
      </c>
      <c r="V208" s="7">
        <v>0</v>
      </c>
      <c r="W208" s="7">
        <v>0</v>
      </c>
      <c r="X208" s="7">
        <v>123522</v>
      </c>
      <c r="Y208" s="7">
        <v>1932644</v>
      </c>
      <c r="Z208" s="7">
        <f t="shared" si="29"/>
        <v>1932644</v>
      </c>
      <c r="AA208" s="20">
        <f t="shared" si="31"/>
        <v>0</v>
      </c>
    </row>
    <row r="209" spans="9:27" ht="12.75">
      <c r="I209" s="3" t="s">
        <v>1095</v>
      </c>
      <c r="J209" s="4">
        <f aca="true" t="shared" si="32" ref="J209:Y209">SUM(J207:J208)</f>
        <v>1.904</v>
      </c>
      <c r="K209" s="4">
        <f t="shared" si="32"/>
        <v>10.475</v>
      </c>
      <c r="L209" s="4">
        <f t="shared" si="32"/>
        <v>42</v>
      </c>
      <c r="M209" s="4">
        <f t="shared" si="32"/>
        <v>34.577</v>
      </c>
      <c r="N209" s="5">
        <f t="shared" si="32"/>
        <v>3375735</v>
      </c>
      <c r="O209" s="5">
        <f t="shared" si="32"/>
        <v>0</v>
      </c>
      <c r="P209" s="5">
        <f t="shared" si="32"/>
        <v>138614</v>
      </c>
      <c r="Q209" s="5">
        <f t="shared" si="32"/>
        <v>0</v>
      </c>
      <c r="R209" s="5">
        <f t="shared" si="32"/>
        <v>0</v>
      </c>
      <c r="S209" s="5">
        <f t="shared" si="32"/>
        <v>0</v>
      </c>
      <c r="T209" s="5">
        <f t="shared" si="32"/>
        <v>3514349</v>
      </c>
      <c r="U209" s="5">
        <f t="shared" si="32"/>
        <v>561670</v>
      </c>
      <c r="V209" s="5">
        <f t="shared" si="32"/>
        <v>0</v>
      </c>
      <c r="W209" s="5">
        <f t="shared" si="32"/>
        <v>0</v>
      </c>
      <c r="X209" s="5">
        <f t="shared" si="32"/>
        <v>200375</v>
      </c>
      <c r="Y209" s="5">
        <f t="shared" si="32"/>
        <v>4276394</v>
      </c>
      <c r="Z209" s="5">
        <f t="shared" si="29"/>
        <v>4276394</v>
      </c>
      <c r="AA209" s="20">
        <f t="shared" si="31"/>
        <v>0</v>
      </c>
    </row>
    <row r="210" spans="10:27" ht="12.75">
      <c r="J210" s="4"/>
      <c r="K210" s="4"/>
      <c r="L210" s="4"/>
      <c r="M210" s="4"/>
      <c r="N210" s="5"/>
      <c r="O210" s="5"/>
      <c r="P210" s="5"/>
      <c r="Q210" s="5"/>
      <c r="R210" s="5"/>
      <c r="S210" s="5"/>
      <c r="T210" s="5" t="s">
        <v>2540</v>
      </c>
      <c r="U210" s="5"/>
      <c r="V210" s="5"/>
      <c r="W210" s="5"/>
      <c r="X210" s="5"/>
      <c r="Y210" s="5"/>
      <c r="Z210" s="5" t="s">
        <v>2540</v>
      </c>
      <c r="AA210" s="20" t="s">
        <v>2540</v>
      </c>
    </row>
    <row r="211" spans="9:27" ht="12.75">
      <c r="I211" s="3" t="s">
        <v>153</v>
      </c>
      <c r="J211" s="4"/>
      <c r="K211" s="4"/>
      <c r="L211" s="4"/>
      <c r="M211" s="4"/>
      <c r="N211" s="5"/>
      <c r="O211" s="5"/>
      <c r="P211" s="5"/>
      <c r="Q211" s="5"/>
      <c r="R211" s="5"/>
      <c r="S211" s="5"/>
      <c r="T211" s="5" t="s">
        <v>2540</v>
      </c>
      <c r="U211" s="5"/>
      <c r="V211" s="5"/>
      <c r="W211" s="5"/>
      <c r="X211" s="5"/>
      <c r="Y211" s="5"/>
      <c r="Z211" s="5" t="s">
        <v>2540</v>
      </c>
      <c r="AA211" s="20" t="s">
        <v>2540</v>
      </c>
    </row>
    <row r="212" spans="1:27" ht="12.75">
      <c r="A212" s="3" t="s">
        <v>1842</v>
      </c>
      <c r="B212" s="3" t="s">
        <v>1669</v>
      </c>
      <c r="C212" s="3" t="s">
        <v>1670</v>
      </c>
      <c r="D212" s="3" t="s">
        <v>1996</v>
      </c>
      <c r="E212" s="3" t="s">
        <v>1589</v>
      </c>
      <c r="F212" s="3" t="s">
        <v>1998</v>
      </c>
      <c r="G212" s="3" t="s">
        <v>1591</v>
      </c>
      <c r="H212" s="3" t="s">
        <v>1592</v>
      </c>
      <c r="I212" s="3" t="s">
        <v>1997</v>
      </c>
      <c r="J212" s="4">
        <v>0</v>
      </c>
      <c r="K212" s="4">
        <v>0</v>
      </c>
      <c r="L212" s="4">
        <v>0</v>
      </c>
      <c r="M212" s="4">
        <v>0</v>
      </c>
      <c r="N212" s="5">
        <v>0</v>
      </c>
      <c r="O212" s="5">
        <v>0</v>
      </c>
      <c r="P212" s="5">
        <v>8080</v>
      </c>
      <c r="Q212" s="5">
        <v>0</v>
      </c>
      <c r="R212" s="5">
        <v>0</v>
      </c>
      <c r="S212" s="5">
        <v>0</v>
      </c>
      <c r="T212" s="5">
        <f t="shared" si="28"/>
        <v>8080</v>
      </c>
      <c r="U212" s="5">
        <v>12100</v>
      </c>
      <c r="V212" s="5">
        <v>0</v>
      </c>
      <c r="W212" s="5">
        <v>0</v>
      </c>
      <c r="X212" s="5">
        <v>0</v>
      </c>
      <c r="Y212" s="5">
        <v>20180</v>
      </c>
      <c r="Z212" s="5">
        <f t="shared" si="29"/>
        <v>20180</v>
      </c>
      <c r="AA212" s="20">
        <f t="shared" si="31"/>
        <v>0</v>
      </c>
    </row>
    <row r="213" spans="1:27" ht="13.5" thickBot="1">
      <c r="A213" s="3" t="s">
        <v>1842</v>
      </c>
      <c r="B213" s="3" t="s">
        <v>1669</v>
      </c>
      <c r="C213" s="3" t="s">
        <v>1670</v>
      </c>
      <c r="D213" s="3" t="s">
        <v>2026</v>
      </c>
      <c r="E213" s="21" t="s">
        <v>1589</v>
      </c>
      <c r="F213" s="21" t="s">
        <v>2028</v>
      </c>
      <c r="G213" s="21" t="s">
        <v>1591</v>
      </c>
      <c r="H213" s="21" t="s">
        <v>1592</v>
      </c>
      <c r="I213" s="3" t="s">
        <v>2027</v>
      </c>
      <c r="J213" s="6">
        <v>0</v>
      </c>
      <c r="K213" s="6">
        <v>0</v>
      </c>
      <c r="L213" s="6">
        <v>0</v>
      </c>
      <c r="M213" s="6">
        <v>0</v>
      </c>
      <c r="N213" s="7">
        <v>0</v>
      </c>
      <c r="O213" s="7">
        <v>0</v>
      </c>
      <c r="P213" s="7">
        <v>0</v>
      </c>
      <c r="Q213" s="7">
        <v>537388</v>
      </c>
      <c r="R213" s="7">
        <v>0</v>
      </c>
      <c r="S213" s="7">
        <v>0</v>
      </c>
      <c r="T213" s="7">
        <f t="shared" si="28"/>
        <v>537388</v>
      </c>
      <c r="U213" s="7">
        <v>24966</v>
      </c>
      <c r="V213" s="7">
        <v>0</v>
      </c>
      <c r="W213" s="7">
        <v>0</v>
      </c>
      <c r="X213" s="7">
        <v>0</v>
      </c>
      <c r="Y213" s="7">
        <v>562354</v>
      </c>
      <c r="Z213" s="7">
        <f t="shared" si="29"/>
        <v>562354</v>
      </c>
      <c r="AA213" s="20">
        <f t="shared" si="31"/>
        <v>0</v>
      </c>
    </row>
    <row r="214" spans="9:27" ht="12.75">
      <c r="I214" s="3" t="s">
        <v>154</v>
      </c>
      <c r="J214" s="4">
        <f aca="true" t="shared" si="33" ref="J214:Y214">SUM(J212:J213)</f>
        <v>0</v>
      </c>
      <c r="K214" s="4">
        <f t="shared" si="33"/>
        <v>0</v>
      </c>
      <c r="L214" s="4">
        <f t="shared" si="33"/>
        <v>0</v>
      </c>
      <c r="M214" s="4">
        <f t="shared" si="33"/>
        <v>0</v>
      </c>
      <c r="N214" s="5">
        <f t="shared" si="33"/>
        <v>0</v>
      </c>
      <c r="O214" s="5">
        <f t="shared" si="33"/>
        <v>0</v>
      </c>
      <c r="P214" s="5">
        <f t="shared" si="33"/>
        <v>8080</v>
      </c>
      <c r="Q214" s="5">
        <f t="shared" si="33"/>
        <v>537388</v>
      </c>
      <c r="R214" s="5">
        <f t="shared" si="33"/>
        <v>0</v>
      </c>
      <c r="S214" s="5">
        <f t="shared" si="33"/>
        <v>0</v>
      </c>
      <c r="T214" s="5">
        <f t="shared" si="33"/>
        <v>545468</v>
      </c>
      <c r="U214" s="5">
        <f t="shared" si="33"/>
        <v>37066</v>
      </c>
      <c r="V214" s="5">
        <f t="shared" si="33"/>
        <v>0</v>
      </c>
      <c r="W214" s="5">
        <f t="shared" si="33"/>
        <v>0</v>
      </c>
      <c r="X214" s="5">
        <f t="shared" si="33"/>
        <v>0</v>
      </c>
      <c r="Y214" s="5">
        <f t="shared" si="33"/>
        <v>582534</v>
      </c>
      <c r="Z214" s="5">
        <f t="shared" si="29"/>
        <v>582534</v>
      </c>
      <c r="AA214" s="20">
        <f t="shared" si="31"/>
        <v>0</v>
      </c>
    </row>
    <row r="215" spans="10:27" ht="12.75">
      <c r="J215" s="4"/>
      <c r="K215" s="4"/>
      <c r="L215" s="4"/>
      <c r="M215" s="4"/>
      <c r="N215" s="5"/>
      <c r="O215" s="5"/>
      <c r="P215" s="5"/>
      <c r="Q215" s="5"/>
      <c r="R215" s="5"/>
      <c r="S215" s="5"/>
      <c r="T215" s="5" t="s">
        <v>2540</v>
      </c>
      <c r="U215" s="5"/>
      <c r="V215" s="5"/>
      <c r="W215" s="5"/>
      <c r="X215" s="5"/>
      <c r="Y215" s="5"/>
      <c r="Z215" s="5" t="s">
        <v>2540</v>
      </c>
      <c r="AA215" s="20" t="s">
        <v>2540</v>
      </c>
    </row>
    <row r="216" spans="1:27" ht="12.75">
      <c r="A216" s="3" t="s">
        <v>1842</v>
      </c>
      <c r="B216" s="3" t="s">
        <v>1669</v>
      </c>
      <c r="C216" s="3" t="s">
        <v>1670</v>
      </c>
      <c r="D216" s="3" t="s">
        <v>1972</v>
      </c>
      <c r="E216" s="3" t="s">
        <v>1589</v>
      </c>
      <c r="F216" s="3" t="s">
        <v>1974</v>
      </c>
      <c r="G216" s="3" t="s">
        <v>1591</v>
      </c>
      <c r="H216" s="3" t="s">
        <v>1592</v>
      </c>
      <c r="I216" s="3" t="s">
        <v>1973</v>
      </c>
      <c r="J216" s="4">
        <v>0</v>
      </c>
      <c r="K216" s="4">
        <v>0</v>
      </c>
      <c r="L216" s="4">
        <v>0</v>
      </c>
      <c r="M216" s="4">
        <v>0</v>
      </c>
      <c r="N216" s="5">
        <v>0</v>
      </c>
      <c r="O216" s="5">
        <v>0</v>
      </c>
      <c r="P216" s="5">
        <v>473989</v>
      </c>
      <c r="Q216" s="5">
        <v>0</v>
      </c>
      <c r="R216" s="5">
        <v>0</v>
      </c>
      <c r="S216" s="5">
        <v>0</v>
      </c>
      <c r="T216" s="5">
        <f t="shared" si="28"/>
        <v>473989</v>
      </c>
      <c r="U216" s="5">
        <f>SUM(S216:S216)</f>
        <v>0</v>
      </c>
      <c r="V216" s="5">
        <v>0</v>
      </c>
      <c r="W216" s="5">
        <v>0</v>
      </c>
      <c r="X216" s="5">
        <v>0</v>
      </c>
      <c r="Y216" s="5">
        <v>473989</v>
      </c>
      <c r="Z216" s="5">
        <f t="shared" si="29"/>
        <v>473989</v>
      </c>
      <c r="AA216" s="20">
        <f t="shared" si="31"/>
        <v>0</v>
      </c>
    </row>
    <row r="217" spans="1:27" ht="12.75">
      <c r="A217" s="3" t="s">
        <v>1842</v>
      </c>
      <c r="B217" s="3" t="s">
        <v>1669</v>
      </c>
      <c r="C217" s="3" t="s">
        <v>1670</v>
      </c>
      <c r="D217" s="3" t="s">
        <v>1990</v>
      </c>
      <c r="E217" s="3" t="s">
        <v>1589</v>
      </c>
      <c r="F217" s="3" t="s">
        <v>1992</v>
      </c>
      <c r="G217" s="3" t="s">
        <v>1591</v>
      </c>
      <c r="H217" s="3" t="s">
        <v>1592</v>
      </c>
      <c r="I217" s="3" t="s">
        <v>1991</v>
      </c>
      <c r="J217" s="4">
        <v>0</v>
      </c>
      <c r="K217" s="4">
        <v>0</v>
      </c>
      <c r="L217" s="4">
        <v>1</v>
      </c>
      <c r="M217" s="4">
        <v>0</v>
      </c>
      <c r="N217" s="5">
        <v>21804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f t="shared" si="28"/>
        <v>21804</v>
      </c>
      <c r="U217" s="5">
        <v>7030</v>
      </c>
      <c r="V217" s="5">
        <v>0</v>
      </c>
      <c r="W217" s="5">
        <v>0</v>
      </c>
      <c r="X217" s="5">
        <v>200</v>
      </c>
      <c r="Y217" s="5">
        <v>29034</v>
      </c>
      <c r="Z217" s="5">
        <f t="shared" si="29"/>
        <v>29034</v>
      </c>
      <c r="AA217" s="20">
        <f t="shared" si="31"/>
        <v>0</v>
      </c>
    </row>
    <row r="218" spans="1:27" ht="12.75">
      <c r="A218" s="3" t="s">
        <v>1842</v>
      </c>
      <c r="B218" s="3" t="s">
        <v>1669</v>
      </c>
      <c r="C218" s="3" t="s">
        <v>1670</v>
      </c>
      <c r="D218" s="3" t="s">
        <v>1993</v>
      </c>
      <c r="E218" s="3" t="s">
        <v>1589</v>
      </c>
      <c r="F218" s="3" t="s">
        <v>1995</v>
      </c>
      <c r="G218" s="3" t="s">
        <v>1591</v>
      </c>
      <c r="H218" s="3" t="s">
        <v>1592</v>
      </c>
      <c r="I218" s="3" t="s">
        <v>1994</v>
      </c>
      <c r="J218" s="4">
        <v>0</v>
      </c>
      <c r="K218" s="4">
        <v>0</v>
      </c>
      <c r="L218" s="4">
        <v>1</v>
      </c>
      <c r="M218" s="4">
        <v>0</v>
      </c>
      <c r="N218" s="5">
        <v>24168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f t="shared" si="28"/>
        <v>24168</v>
      </c>
      <c r="U218" s="5">
        <v>7797</v>
      </c>
      <c r="V218" s="5">
        <v>0</v>
      </c>
      <c r="W218" s="5">
        <v>0</v>
      </c>
      <c r="X218" s="5">
        <v>200</v>
      </c>
      <c r="Y218" s="5">
        <v>32165</v>
      </c>
      <c r="Z218" s="5">
        <f t="shared" si="29"/>
        <v>32165</v>
      </c>
      <c r="AA218" s="20">
        <f t="shared" si="31"/>
        <v>0</v>
      </c>
    </row>
    <row r="219" spans="1:27" ht="12.75">
      <c r="A219" s="3" t="s">
        <v>1842</v>
      </c>
      <c r="B219" s="3" t="s">
        <v>1669</v>
      </c>
      <c r="C219" s="3" t="s">
        <v>1670</v>
      </c>
      <c r="D219" s="3" t="s">
        <v>1999</v>
      </c>
      <c r="E219" s="3" t="s">
        <v>1589</v>
      </c>
      <c r="F219" s="3" t="s">
        <v>2001</v>
      </c>
      <c r="G219" s="3" t="s">
        <v>1591</v>
      </c>
      <c r="H219" s="3" t="s">
        <v>1592</v>
      </c>
      <c r="I219" s="3" t="s">
        <v>2000</v>
      </c>
      <c r="J219" s="4">
        <v>0</v>
      </c>
      <c r="K219" s="4">
        <v>0</v>
      </c>
      <c r="L219" s="4">
        <v>0</v>
      </c>
      <c r="M219" s="4">
        <v>1.411</v>
      </c>
      <c r="N219" s="5">
        <v>44088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f t="shared" si="28"/>
        <v>44088</v>
      </c>
      <c r="U219" s="5">
        <v>27996</v>
      </c>
      <c r="V219" s="5">
        <v>0</v>
      </c>
      <c r="W219" s="5">
        <v>0</v>
      </c>
      <c r="X219" s="5">
        <v>0</v>
      </c>
      <c r="Y219" s="5">
        <v>72084</v>
      </c>
      <c r="Z219" s="5">
        <f t="shared" si="29"/>
        <v>72084</v>
      </c>
      <c r="AA219" s="20">
        <f t="shared" si="31"/>
        <v>0</v>
      </c>
    </row>
    <row r="220" spans="1:27" ht="13.5" thickBot="1">
      <c r="A220" s="3" t="s">
        <v>1842</v>
      </c>
      <c r="B220" s="3" t="s">
        <v>1669</v>
      </c>
      <c r="C220" s="3" t="s">
        <v>1670</v>
      </c>
      <c r="D220" s="3" t="s">
        <v>2023</v>
      </c>
      <c r="E220" s="21" t="s">
        <v>1589</v>
      </c>
      <c r="F220" s="21" t="s">
        <v>2025</v>
      </c>
      <c r="G220" s="21" t="s">
        <v>1591</v>
      </c>
      <c r="H220" s="21" t="s">
        <v>1592</v>
      </c>
      <c r="I220" s="3" t="s">
        <v>2024</v>
      </c>
      <c r="J220" s="6">
        <v>0</v>
      </c>
      <c r="K220" s="6">
        <v>0</v>
      </c>
      <c r="L220" s="6">
        <v>1</v>
      </c>
      <c r="M220" s="6">
        <v>0</v>
      </c>
      <c r="N220" s="7">
        <v>29676</v>
      </c>
      <c r="O220" s="7">
        <v>0</v>
      </c>
      <c r="P220" s="7">
        <v>65020</v>
      </c>
      <c r="Q220" s="7">
        <v>0</v>
      </c>
      <c r="R220" s="7">
        <v>0</v>
      </c>
      <c r="S220" s="7">
        <v>0</v>
      </c>
      <c r="T220" s="7">
        <f t="shared" si="28"/>
        <v>94696</v>
      </c>
      <c r="U220" s="7">
        <v>83825</v>
      </c>
      <c r="V220" s="7">
        <v>0</v>
      </c>
      <c r="W220" s="7">
        <v>0</v>
      </c>
      <c r="X220" s="7">
        <v>2000</v>
      </c>
      <c r="Y220" s="7">
        <v>180521</v>
      </c>
      <c r="Z220" s="7">
        <f t="shared" si="29"/>
        <v>180521</v>
      </c>
      <c r="AA220" s="20">
        <f t="shared" si="31"/>
        <v>0</v>
      </c>
    </row>
    <row r="221" spans="5:27" ht="12.75">
      <c r="E221" s="21"/>
      <c r="F221" s="21"/>
      <c r="G221" s="21"/>
      <c r="H221" s="21"/>
      <c r="J221" s="16"/>
      <c r="K221" s="16"/>
      <c r="L221" s="16"/>
      <c r="M221" s="16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20"/>
    </row>
    <row r="222" spans="9:27" ht="12.75">
      <c r="I222" s="3" t="s">
        <v>155</v>
      </c>
      <c r="J222" s="22">
        <f aca="true" t="shared" si="34" ref="J222:Y222">SUM(J216:J220)+SUM(J37:J45)+SUM(J84)+SUM(J121)+SUM(J132)+SUM(J150)+SUM(J163)+SUM(J177)+SUM(J182)+SUM(J190)+SUM(J195)+SUM(J203)+SUM(J209)+SUM(J214)</f>
        <v>20.07</v>
      </c>
      <c r="K222" s="22">
        <f t="shared" si="34"/>
        <v>571.9290000000001</v>
      </c>
      <c r="L222" s="22">
        <f t="shared" si="34"/>
        <v>230.791</v>
      </c>
      <c r="M222" s="22">
        <f t="shared" si="34"/>
        <v>140.85500000000002</v>
      </c>
      <c r="N222" s="5">
        <f t="shared" si="34"/>
        <v>41882453</v>
      </c>
      <c r="O222" s="5">
        <f t="shared" si="34"/>
        <v>169995</v>
      </c>
      <c r="P222" s="5">
        <f t="shared" si="34"/>
        <v>2285358</v>
      </c>
      <c r="Q222" s="5">
        <f t="shared" si="34"/>
        <v>3261201</v>
      </c>
      <c r="R222" s="5">
        <f t="shared" si="34"/>
        <v>11631894</v>
      </c>
      <c r="S222" s="5">
        <f t="shared" si="34"/>
        <v>0</v>
      </c>
      <c r="T222" s="5">
        <f t="shared" si="34"/>
        <v>59230901</v>
      </c>
      <c r="U222" s="5">
        <f t="shared" si="34"/>
        <v>4469381</v>
      </c>
      <c r="V222" s="5">
        <f t="shared" si="34"/>
        <v>0</v>
      </c>
      <c r="W222" s="5">
        <f t="shared" si="34"/>
        <v>18000</v>
      </c>
      <c r="X222" s="5">
        <f t="shared" si="34"/>
        <v>212785</v>
      </c>
      <c r="Y222" s="5">
        <f t="shared" si="34"/>
        <v>63931067</v>
      </c>
      <c r="Z222" s="12">
        <f t="shared" si="29"/>
        <v>63931067</v>
      </c>
      <c r="AA222" s="20">
        <f t="shared" si="31"/>
        <v>0</v>
      </c>
    </row>
    <row r="223" spans="14:27" ht="12.75">
      <c r="N223" s="5"/>
      <c r="O223" s="5"/>
      <c r="P223" s="5"/>
      <c r="Q223" s="5"/>
      <c r="R223" s="5"/>
      <c r="S223" s="5"/>
      <c r="T223" s="5" t="s">
        <v>2540</v>
      </c>
      <c r="U223" s="5"/>
      <c r="V223" s="5"/>
      <c r="W223" s="5"/>
      <c r="X223" s="5"/>
      <c r="Y223" s="5"/>
      <c r="Z223" s="5" t="s">
        <v>2540</v>
      </c>
      <c r="AA223" s="20" t="s">
        <v>2540</v>
      </c>
    </row>
    <row r="224" spans="9:27" ht="12.75">
      <c r="I224" s="3" t="s">
        <v>2030</v>
      </c>
      <c r="N224" s="5"/>
      <c r="O224" s="5"/>
      <c r="P224" s="5"/>
      <c r="Q224" s="5"/>
      <c r="R224" s="5"/>
      <c r="S224" s="5"/>
      <c r="T224" s="5" t="s">
        <v>2540</v>
      </c>
      <c r="U224" s="5"/>
      <c r="V224" s="5"/>
      <c r="W224" s="5"/>
      <c r="X224" s="5"/>
      <c r="Y224" s="5"/>
      <c r="Z224" s="5" t="s">
        <v>2540</v>
      </c>
      <c r="AA224" s="20" t="s">
        <v>2540</v>
      </c>
    </row>
    <row r="225" spans="14:27" ht="12.75">
      <c r="N225" s="5"/>
      <c r="O225" s="5"/>
      <c r="P225" s="5"/>
      <c r="Q225" s="5"/>
      <c r="R225" s="5"/>
      <c r="S225" s="5"/>
      <c r="T225" s="5" t="s">
        <v>2540</v>
      </c>
      <c r="U225" s="5"/>
      <c r="V225" s="5"/>
      <c r="W225" s="5"/>
      <c r="X225" s="5"/>
      <c r="Y225" s="5"/>
      <c r="Z225" s="5" t="s">
        <v>2540</v>
      </c>
      <c r="AA225" s="20" t="s">
        <v>2540</v>
      </c>
    </row>
    <row r="226" spans="1:27" ht="12.75">
      <c r="A226" s="3" t="s">
        <v>1668</v>
      </c>
      <c r="B226" s="3" t="s">
        <v>2029</v>
      </c>
      <c r="C226" s="3" t="s">
        <v>2030</v>
      </c>
      <c r="D226" s="3" t="s">
        <v>2031</v>
      </c>
      <c r="E226" s="3" t="s">
        <v>1589</v>
      </c>
      <c r="F226" s="3" t="s">
        <v>2033</v>
      </c>
      <c r="G226" s="3" t="s">
        <v>1591</v>
      </c>
      <c r="H226" s="3" t="s">
        <v>1592</v>
      </c>
      <c r="I226" s="3" t="s">
        <v>2032</v>
      </c>
      <c r="J226" s="4">
        <v>0</v>
      </c>
      <c r="K226" s="4">
        <v>0</v>
      </c>
      <c r="L226" s="4">
        <v>0</v>
      </c>
      <c r="M226" s="4">
        <v>0</v>
      </c>
      <c r="N226" s="5">
        <v>0</v>
      </c>
      <c r="O226" s="5">
        <v>0</v>
      </c>
      <c r="P226" s="5">
        <v>0</v>
      </c>
      <c r="Q226" s="5">
        <v>0</v>
      </c>
      <c r="R226" s="5">
        <f>1733355-45075</f>
        <v>1688280</v>
      </c>
      <c r="S226" s="5">
        <v>0</v>
      </c>
      <c r="T226" s="5">
        <f t="shared" si="28"/>
        <v>1688280</v>
      </c>
      <c r="U226" s="5" t="s">
        <v>2540</v>
      </c>
      <c r="V226" s="5">
        <v>0</v>
      </c>
      <c r="W226" s="5">
        <v>0</v>
      </c>
      <c r="X226" s="5">
        <v>0</v>
      </c>
      <c r="Y226" s="5">
        <v>1688280</v>
      </c>
      <c r="Z226" s="5">
        <f t="shared" si="29"/>
        <v>1688280</v>
      </c>
      <c r="AA226" s="20">
        <f t="shared" si="31"/>
        <v>0</v>
      </c>
    </row>
    <row r="227" spans="1:27" ht="12.75">
      <c r="A227" s="3" t="s">
        <v>1668</v>
      </c>
      <c r="B227" s="3" t="s">
        <v>2029</v>
      </c>
      <c r="C227" s="3" t="s">
        <v>2030</v>
      </c>
      <c r="D227" s="3" t="s">
        <v>2034</v>
      </c>
      <c r="E227" s="3" t="s">
        <v>1589</v>
      </c>
      <c r="F227" s="3" t="s">
        <v>2036</v>
      </c>
      <c r="G227" s="3" t="s">
        <v>1591</v>
      </c>
      <c r="H227" s="3" t="s">
        <v>1592</v>
      </c>
      <c r="I227" s="3" t="s">
        <v>2035</v>
      </c>
      <c r="J227" s="4">
        <v>0</v>
      </c>
      <c r="K227" s="4">
        <v>0</v>
      </c>
      <c r="L227" s="4">
        <v>0</v>
      </c>
      <c r="M227" s="4">
        <v>0</v>
      </c>
      <c r="N227" s="5">
        <v>0</v>
      </c>
      <c r="O227" s="5">
        <v>45075</v>
      </c>
      <c r="P227" s="5">
        <v>0</v>
      </c>
      <c r="Q227" s="5">
        <v>0</v>
      </c>
      <c r="R227" s="5">
        <v>13800</v>
      </c>
      <c r="S227" s="5">
        <v>0</v>
      </c>
      <c r="T227" s="5">
        <f t="shared" si="28"/>
        <v>58875</v>
      </c>
      <c r="U227" s="5">
        <f>SUM(S227:S227)</f>
        <v>0</v>
      </c>
      <c r="V227" s="5">
        <v>0</v>
      </c>
      <c r="W227" s="5">
        <v>0</v>
      </c>
      <c r="X227" s="5">
        <v>0</v>
      </c>
      <c r="Y227" s="5">
        <v>58875</v>
      </c>
      <c r="Z227" s="5">
        <f t="shared" si="29"/>
        <v>58875</v>
      </c>
      <c r="AA227" s="20">
        <f t="shared" si="31"/>
        <v>0</v>
      </c>
    </row>
    <row r="228" spans="1:27" ht="12.75">
      <c r="A228" s="3" t="s">
        <v>1751</v>
      </c>
      <c r="B228" s="3" t="s">
        <v>2029</v>
      </c>
      <c r="C228" s="3" t="s">
        <v>2030</v>
      </c>
      <c r="D228" s="3" t="s">
        <v>2037</v>
      </c>
      <c r="E228" s="3" t="s">
        <v>1589</v>
      </c>
      <c r="F228" s="3" t="s">
        <v>2039</v>
      </c>
      <c r="G228" s="3" t="s">
        <v>1591</v>
      </c>
      <c r="H228" s="3" t="s">
        <v>1592</v>
      </c>
      <c r="I228" s="3" t="s">
        <v>2038</v>
      </c>
      <c r="J228" s="4">
        <v>0</v>
      </c>
      <c r="K228" s="4">
        <v>0</v>
      </c>
      <c r="L228" s="4">
        <v>11</v>
      </c>
      <c r="M228" s="4">
        <v>0</v>
      </c>
      <c r="N228" s="5">
        <v>376620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f t="shared" si="28"/>
        <v>376620</v>
      </c>
      <c r="U228" s="5">
        <v>2650</v>
      </c>
      <c r="V228" s="5">
        <v>0</v>
      </c>
      <c r="W228" s="5">
        <v>0</v>
      </c>
      <c r="X228" s="5">
        <v>0</v>
      </c>
      <c r="Y228" s="5">
        <v>379270</v>
      </c>
      <c r="Z228" s="5">
        <f t="shared" si="29"/>
        <v>379270</v>
      </c>
      <c r="AA228" s="20">
        <f t="shared" si="31"/>
        <v>0</v>
      </c>
    </row>
    <row r="229" spans="1:27" ht="12.75">
      <c r="A229" s="3" t="s">
        <v>2040</v>
      </c>
      <c r="B229" s="3" t="s">
        <v>2029</v>
      </c>
      <c r="C229" s="3" t="s">
        <v>2030</v>
      </c>
      <c r="D229" s="3" t="s">
        <v>2041</v>
      </c>
      <c r="E229" s="3" t="s">
        <v>1589</v>
      </c>
      <c r="F229" s="3" t="s">
        <v>2043</v>
      </c>
      <c r="G229" s="3" t="s">
        <v>1591</v>
      </c>
      <c r="H229" s="3" t="s">
        <v>1592</v>
      </c>
      <c r="I229" s="3" t="s">
        <v>2042</v>
      </c>
      <c r="J229" s="4">
        <v>0</v>
      </c>
      <c r="K229" s="4">
        <f>1-0.5</f>
        <v>0.5</v>
      </c>
      <c r="L229" s="4">
        <v>1.621</v>
      </c>
      <c r="M229" s="4">
        <v>0</v>
      </c>
      <c r="N229" s="5">
        <v>93420</v>
      </c>
      <c r="O229" s="5">
        <v>0</v>
      </c>
      <c r="P229" s="5">
        <v>17000</v>
      </c>
      <c r="Q229" s="5">
        <v>0</v>
      </c>
      <c r="R229" s="5">
        <v>0</v>
      </c>
      <c r="S229" s="5">
        <v>0</v>
      </c>
      <c r="T229" s="5">
        <f t="shared" si="28"/>
        <v>110420</v>
      </c>
      <c r="U229" s="5">
        <v>69979</v>
      </c>
      <c r="V229" s="5">
        <v>0</v>
      </c>
      <c r="W229" s="5">
        <v>0</v>
      </c>
      <c r="X229" s="5">
        <v>0</v>
      </c>
      <c r="Y229" s="5">
        <v>180399</v>
      </c>
      <c r="Z229" s="5">
        <f t="shared" si="29"/>
        <v>180399</v>
      </c>
      <c r="AA229" s="20">
        <f t="shared" si="31"/>
        <v>0</v>
      </c>
    </row>
    <row r="230" spans="1:27" ht="12.75">
      <c r="A230" s="3" t="s">
        <v>1751</v>
      </c>
      <c r="B230" s="3" t="s">
        <v>2029</v>
      </c>
      <c r="C230" s="3" t="s">
        <v>2030</v>
      </c>
      <c r="D230" s="3" t="s">
        <v>2044</v>
      </c>
      <c r="E230" s="3" t="s">
        <v>1589</v>
      </c>
      <c r="F230" s="3" t="s">
        <v>2046</v>
      </c>
      <c r="G230" s="3" t="s">
        <v>1591</v>
      </c>
      <c r="H230" s="3" t="s">
        <v>1592</v>
      </c>
      <c r="I230" s="3" t="s">
        <v>2045</v>
      </c>
      <c r="J230" s="4">
        <v>0</v>
      </c>
      <c r="K230" s="4">
        <v>0.134</v>
      </c>
      <c r="L230" s="4">
        <v>0.5</v>
      </c>
      <c r="M230" s="4">
        <v>0</v>
      </c>
      <c r="N230" s="5">
        <v>21301</v>
      </c>
      <c r="O230" s="5">
        <v>0</v>
      </c>
      <c r="P230" s="5">
        <v>24844</v>
      </c>
      <c r="Q230" s="5">
        <v>0</v>
      </c>
      <c r="R230" s="5">
        <v>0</v>
      </c>
      <c r="S230" s="5">
        <v>0</v>
      </c>
      <c r="T230" s="5">
        <f t="shared" si="28"/>
        <v>46145</v>
      </c>
      <c r="U230" s="5">
        <v>23700</v>
      </c>
      <c r="V230" s="5">
        <v>0</v>
      </c>
      <c r="W230" s="5">
        <v>0</v>
      </c>
      <c r="X230" s="5">
        <v>0</v>
      </c>
      <c r="Y230" s="5">
        <v>69845</v>
      </c>
      <c r="Z230" s="5">
        <f t="shared" si="29"/>
        <v>69845</v>
      </c>
      <c r="AA230" s="20">
        <f t="shared" si="31"/>
        <v>0</v>
      </c>
    </row>
    <row r="231" spans="1:27" ht="12.75">
      <c r="A231" s="3" t="s">
        <v>2040</v>
      </c>
      <c r="B231" s="3" t="s">
        <v>2029</v>
      </c>
      <c r="C231" s="3" t="s">
        <v>2030</v>
      </c>
      <c r="D231" s="3" t="s">
        <v>2047</v>
      </c>
      <c r="E231" s="3" t="s">
        <v>1589</v>
      </c>
      <c r="F231" s="3" t="s">
        <v>2049</v>
      </c>
      <c r="G231" s="3" t="s">
        <v>1591</v>
      </c>
      <c r="H231" s="3" t="s">
        <v>1592</v>
      </c>
      <c r="I231" s="3" t="s">
        <v>2352</v>
      </c>
      <c r="J231" s="4">
        <v>0</v>
      </c>
      <c r="K231" s="4">
        <v>0</v>
      </c>
      <c r="L231" s="4">
        <v>2</v>
      </c>
      <c r="M231" s="4">
        <v>1</v>
      </c>
      <c r="N231" s="5">
        <v>72204</v>
      </c>
      <c r="O231" s="5">
        <v>0</v>
      </c>
      <c r="P231" s="5">
        <v>190</v>
      </c>
      <c r="Q231" s="5">
        <v>31500</v>
      </c>
      <c r="R231" s="5">
        <v>0</v>
      </c>
      <c r="S231" s="5">
        <v>0</v>
      </c>
      <c r="T231" s="5">
        <f t="shared" si="28"/>
        <v>103894</v>
      </c>
      <c r="U231" s="5">
        <v>37698</v>
      </c>
      <c r="V231" s="5">
        <v>7912</v>
      </c>
      <c r="W231" s="5">
        <v>0</v>
      </c>
      <c r="X231" s="5">
        <v>1000</v>
      </c>
      <c r="Y231" s="5">
        <v>150504</v>
      </c>
      <c r="Z231" s="5">
        <f t="shared" si="29"/>
        <v>150504</v>
      </c>
      <c r="AA231" s="20">
        <f t="shared" si="31"/>
        <v>0</v>
      </c>
    </row>
    <row r="232" spans="1:27" ht="12.75">
      <c r="A232" s="3" t="s">
        <v>1751</v>
      </c>
      <c r="B232" s="3" t="s">
        <v>2029</v>
      </c>
      <c r="C232" s="3" t="s">
        <v>2030</v>
      </c>
      <c r="D232" s="3" t="s">
        <v>2050</v>
      </c>
      <c r="E232" s="3" t="s">
        <v>1589</v>
      </c>
      <c r="F232" s="3" t="s">
        <v>2052</v>
      </c>
      <c r="G232" s="3" t="s">
        <v>1591</v>
      </c>
      <c r="H232" s="3" t="s">
        <v>1592</v>
      </c>
      <c r="I232" s="3" t="s">
        <v>2051</v>
      </c>
      <c r="J232" s="4">
        <v>0</v>
      </c>
      <c r="K232" s="4">
        <v>0</v>
      </c>
      <c r="L232" s="4">
        <v>1.759</v>
      </c>
      <c r="M232" s="4">
        <v>0</v>
      </c>
      <c r="N232" s="5">
        <v>63600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f t="shared" si="28"/>
        <v>63600</v>
      </c>
      <c r="U232" s="5">
        <v>16000</v>
      </c>
      <c r="V232" s="5">
        <v>0</v>
      </c>
      <c r="W232" s="5">
        <v>0</v>
      </c>
      <c r="X232" s="5">
        <v>0</v>
      </c>
      <c r="Y232" s="5">
        <v>79600</v>
      </c>
      <c r="Z232" s="5">
        <f t="shared" si="29"/>
        <v>79600</v>
      </c>
      <c r="AA232" s="20">
        <f t="shared" si="31"/>
        <v>0</v>
      </c>
    </row>
    <row r="233" spans="1:27" ht="12.75">
      <c r="A233" s="3" t="s">
        <v>2040</v>
      </c>
      <c r="B233" s="3" t="s">
        <v>2029</v>
      </c>
      <c r="C233" s="3" t="s">
        <v>2030</v>
      </c>
      <c r="D233" s="3" t="s">
        <v>2053</v>
      </c>
      <c r="E233" s="3" t="s">
        <v>1589</v>
      </c>
      <c r="F233" s="3" t="s">
        <v>2055</v>
      </c>
      <c r="G233" s="3" t="s">
        <v>1591</v>
      </c>
      <c r="H233" s="3" t="s">
        <v>1592</v>
      </c>
      <c r="I233" s="3" t="s">
        <v>2054</v>
      </c>
      <c r="J233" s="4">
        <v>0</v>
      </c>
      <c r="K233" s="4">
        <v>0</v>
      </c>
      <c r="L233" s="4">
        <v>1</v>
      </c>
      <c r="M233" s="4">
        <v>0</v>
      </c>
      <c r="N233" s="5">
        <v>28296</v>
      </c>
      <c r="O233" s="5">
        <v>0</v>
      </c>
      <c r="P233" s="5">
        <v>1704</v>
      </c>
      <c r="Q233" s="5">
        <v>0</v>
      </c>
      <c r="R233" s="5">
        <v>0</v>
      </c>
      <c r="S233" s="5">
        <v>0</v>
      </c>
      <c r="T233" s="5">
        <f t="shared" si="28"/>
        <v>30000</v>
      </c>
      <c r="U233" s="5">
        <v>35000</v>
      </c>
      <c r="V233" s="5">
        <v>0</v>
      </c>
      <c r="W233" s="5">
        <v>0</v>
      </c>
      <c r="X233" s="5">
        <v>0</v>
      </c>
      <c r="Y233" s="5">
        <v>65000</v>
      </c>
      <c r="Z233" s="5">
        <f t="shared" si="29"/>
        <v>65000</v>
      </c>
      <c r="AA233" s="20">
        <f t="shared" si="31"/>
        <v>0</v>
      </c>
    </row>
    <row r="234" spans="1:27" ht="12.75">
      <c r="A234" s="3" t="s">
        <v>2040</v>
      </c>
      <c r="B234" s="3" t="s">
        <v>2029</v>
      </c>
      <c r="C234" s="3" t="s">
        <v>2030</v>
      </c>
      <c r="D234" s="3" t="s">
        <v>2056</v>
      </c>
      <c r="E234" s="3" t="s">
        <v>1589</v>
      </c>
      <c r="F234" s="3" t="s">
        <v>2058</v>
      </c>
      <c r="G234" s="3" t="s">
        <v>1591</v>
      </c>
      <c r="H234" s="3" t="s">
        <v>1592</v>
      </c>
      <c r="I234" s="3" t="s">
        <v>2057</v>
      </c>
      <c r="J234" s="4">
        <v>0</v>
      </c>
      <c r="K234" s="4">
        <v>0</v>
      </c>
      <c r="L234" s="4">
        <v>0</v>
      </c>
      <c r="M234" s="4">
        <v>0</v>
      </c>
      <c r="N234" s="5">
        <v>0</v>
      </c>
      <c r="O234" s="5">
        <v>0</v>
      </c>
      <c r="P234" s="5">
        <v>0</v>
      </c>
      <c r="Q234" s="5">
        <v>41463</v>
      </c>
      <c r="R234" s="5">
        <v>0</v>
      </c>
      <c r="S234" s="5">
        <v>0</v>
      </c>
      <c r="T234" s="5">
        <f t="shared" si="28"/>
        <v>41463</v>
      </c>
      <c r="U234" s="5">
        <v>0</v>
      </c>
      <c r="V234" s="5">
        <v>52200</v>
      </c>
      <c r="W234" s="5">
        <v>0</v>
      </c>
      <c r="X234" s="5">
        <v>0</v>
      </c>
      <c r="Y234" s="5">
        <v>93663</v>
      </c>
      <c r="Z234" s="5">
        <f t="shared" si="29"/>
        <v>93663</v>
      </c>
      <c r="AA234" s="20">
        <f t="shared" si="31"/>
        <v>0</v>
      </c>
    </row>
    <row r="235" spans="1:27" ht="12.75">
      <c r="A235" s="3" t="s">
        <v>2040</v>
      </c>
      <c r="B235" s="3" t="s">
        <v>2029</v>
      </c>
      <c r="C235" s="3" t="s">
        <v>2030</v>
      </c>
      <c r="D235" s="3" t="s">
        <v>2059</v>
      </c>
      <c r="E235" s="3" t="s">
        <v>1589</v>
      </c>
      <c r="F235" s="3" t="s">
        <v>2061</v>
      </c>
      <c r="G235" s="3" t="s">
        <v>1591</v>
      </c>
      <c r="H235" s="3" t="s">
        <v>1592</v>
      </c>
      <c r="I235" s="3" t="s">
        <v>930</v>
      </c>
      <c r="J235" s="4">
        <v>0</v>
      </c>
      <c r="K235" s="4">
        <v>0</v>
      </c>
      <c r="L235" s="4">
        <v>2.068</v>
      </c>
      <c r="M235" s="4">
        <v>0</v>
      </c>
      <c r="N235" s="5">
        <v>63228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f t="shared" si="28"/>
        <v>63228</v>
      </c>
      <c r="U235" s="5">
        <v>36772</v>
      </c>
      <c r="V235" s="5">
        <v>0</v>
      </c>
      <c r="W235" s="5">
        <v>0</v>
      </c>
      <c r="X235" s="5">
        <v>0</v>
      </c>
      <c r="Y235" s="5">
        <v>100000</v>
      </c>
      <c r="Z235" s="5">
        <f t="shared" si="29"/>
        <v>100000</v>
      </c>
      <c r="AA235" s="20">
        <f t="shared" si="31"/>
        <v>0</v>
      </c>
    </row>
    <row r="236" spans="1:27" ht="12.75">
      <c r="A236" s="3" t="s">
        <v>2040</v>
      </c>
      <c r="B236" s="3" t="s">
        <v>2029</v>
      </c>
      <c r="C236" s="3" t="s">
        <v>2030</v>
      </c>
      <c r="D236" s="3" t="s">
        <v>2062</v>
      </c>
      <c r="E236" s="3" t="s">
        <v>1589</v>
      </c>
      <c r="F236" s="3" t="s">
        <v>2064</v>
      </c>
      <c r="G236" s="3" t="s">
        <v>1591</v>
      </c>
      <c r="H236" s="3" t="s">
        <v>1592</v>
      </c>
      <c r="I236" s="3" t="s">
        <v>2063</v>
      </c>
      <c r="J236" s="4">
        <v>1</v>
      </c>
      <c r="K236" s="4">
        <v>0</v>
      </c>
      <c r="L236" s="4">
        <v>0</v>
      </c>
      <c r="M236" s="4">
        <v>0</v>
      </c>
      <c r="N236" s="5">
        <v>113100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f t="shared" si="28"/>
        <v>113100</v>
      </c>
      <c r="U236" s="5">
        <f>SUM(S236:S236)</f>
        <v>0</v>
      </c>
      <c r="V236" s="5">
        <v>0</v>
      </c>
      <c r="W236" s="5">
        <v>0</v>
      </c>
      <c r="X236" s="5">
        <v>0</v>
      </c>
      <c r="Y236" s="5">
        <v>113100</v>
      </c>
      <c r="Z236" s="5">
        <f t="shared" si="29"/>
        <v>113100</v>
      </c>
      <c r="AA236" s="20">
        <f t="shared" si="31"/>
        <v>0</v>
      </c>
    </row>
    <row r="237" spans="1:27" ht="12.75">
      <c r="A237" s="3" t="s">
        <v>2040</v>
      </c>
      <c r="B237" s="3" t="s">
        <v>2029</v>
      </c>
      <c r="C237" s="3" t="s">
        <v>2030</v>
      </c>
      <c r="D237" s="3" t="s">
        <v>2065</v>
      </c>
      <c r="E237" s="3" t="s">
        <v>1589</v>
      </c>
      <c r="F237" s="3" t="s">
        <v>2067</v>
      </c>
      <c r="G237" s="3" t="s">
        <v>1591</v>
      </c>
      <c r="H237" s="3" t="s">
        <v>1592</v>
      </c>
      <c r="I237" s="3" t="s">
        <v>2066</v>
      </c>
      <c r="J237" s="4">
        <v>0</v>
      </c>
      <c r="K237" s="4">
        <v>0</v>
      </c>
      <c r="L237" s="4">
        <v>0.5</v>
      </c>
      <c r="M237" s="4">
        <v>0</v>
      </c>
      <c r="N237" s="5">
        <v>12588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f t="shared" si="28"/>
        <v>12588</v>
      </c>
      <c r="U237" s="5">
        <f>SUM(S237:S237)</f>
        <v>0</v>
      </c>
      <c r="V237" s="5">
        <v>0</v>
      </c>
      <c r="W237" s="5">
        <v>0</v>
      </c>
      <c r="X237" s="5">
        <v>0</v>
      </c>
      <c r="Y237" s="5">
        <v>12588</v>
      </c>
      <c r="Z237" s="5">
        <f t="shared" si="29"/>
        <v>12588</v>
      </c>
      <c r="AA237" s="20">
        <f t="shared" si="31"/>
        <v>0</v>
      </c>
    </row>
    <row r="238" spans="10:27" ht="12.75">
      <c r="J238" s="4"/>
      <c r="K238" s="4"/>
      <c r="L238" s="4"/>
      <c r="M238" s="4"/>
      <c r="N238" s="5"/>
      <c r="O238" s="5"/>
      <c r="P238" s="5"/>
      <c r="Q238" s="5"/>
      <c r="R238" s="5"/>
      <c r="S238" s="5"/>
      <c r="T238" s="5" t="s">
        <v>2540</v>
      </c>
      <c r="U238" s="5"/>
      <c r="V238" s="5"/>
      <c r="W238" s="5"/>
      <c r="X238" s="5"/>
      <c r="Y238" s="5"/>
      <c r="Z238" s="5" t="s">
        <v>2540</v>
      </c>
      <c r="AA238" s="20" t="s">
        <v>2540</v>
      </c>
    </row>
    <row r="239" spans="9:27" ht="12.75">
      <c r="I239" s="3" t="s">
        <v>156</v>
      </c>
      <c r="J239" s="4"/>
      <c r="K239" s="4"/>
      <c r="L239" s="4"/>
      <c r="M239" s="4"/>
      <c r="N239" s="5"/>
      <c r="O239" s="5"/>
      <c r="P239" s="5"/>
      <c r="Q239" s="5"/>
      <c r="R239" s="5"/>
      <c r="S239" s="5"/>
      <c r="T239" s="5" t="s">
        <v>2540</v>
      </c>
      <c r="U239" s="5"/>
      <c r="V239" s="5"/>
      <c r="W239" s="5"/>
      <c r="X239" s="5"/>
      <c r="Y239" s="5"/>
      <c r="Z239" s="5" t="s">
        <v>2540</v>
      </c>
      <c r="AA239" s="20" t="s">
        <v>2540</v>
      </c>
    </row>
    <row r="240" spans="10:27" ht="12.75">
      <c r="J240" s="4"/>
      <c r="K240" s="4"/>
      <c r="L240" s="4"/>
      <c r="M240" s="4"/>
      <c r="N240" s="5"/>
      <c r="O240" s="5"/>
      <c r="P240" s="5"/>
      <c r="Q240" s="5"/>
      <c r="R240" s="5"/>
      <c r="S240" s="5"/>
      <c r="T240" s="5" t="s">
        <v>2540</v>
      </c>
      <c r="U240" s="5"/>
      <c r="V240" s="5"/>
      <c r="W240" s="5"/>
      <c r="X240" s="5"/>
      <c r="Y240" s="5"/>
      <c r="Z240" s="5" t="s">
        <v>2540</v>
      </c>
      <c r="AA240" s="20" t="s">
        <v>2540</v>
      </c>
    </row>
    <row r="241" spans="1:27" ht="12.75">
      <c r="A241" s="3" t="s">
        <v>1699</v>
      </c>
      <c r="B241" s="3" t="s">
        <v>2029</v>
      </c>
      <c r="C241" s="3" t="s">
        <v>2030</v>
      </c>
      <c r="D241" s="3" t="s">
        <v>2068</v>
      </c>
      <c r="E241" s="3" t="s">
        <v>1589</v>
      </c>
      <c r="F241" s="3" t="s">
        <v>2070</v>
      </c>
      <c r="G241" s="3" t="s">
        <v>1591</v>
      </c>
      <c r="H241" s="3" t="s">
        <v>1592</v>
      </c>
      <c r="I241" s="3" t="s">
        <v>2069</v>
      </c>
      <c r="J241" s="4">
        <v>1.333</v>
      </c>
      <c r="K241" s="4">
        <v>0.334</v>
      </c>
      <c r="L241" s="4">
        <v>4.22</v>
      </c>
      <c r="M241" s="4">
        <v>0</v>
      </c>
      <c r="N241" s="5">
        <v>260761</v>
      </c>
      <c r="O241" s="5">
        <v>0</v>
      </c>
      <c r="P241" s="5">
        <v>4577</v>
      </c>
      <c r="Q241" s="5">
        <v>0</v>
      </c>
      <c r="R241" s="5">
        <v>0</v>
      </c>
      <c r="S241" s="5">
        <v>0</v>
      </c>
      <c r="T241" s="5">
        <f t="shared" si="28"/>
        <v>265338</v>
      </c>
      <c r="U241" s="5">
        <f>SUM(S241:S241)</f>
        <v>0</v>
      </c>
      <c r="V241" s="5">
        <v>0</v>
      </c>
      <c r="W241" s="5">
        <v>0</v>
      </c>
      <c r="X241" s="5">
        <v>0</v>
      </c>
      <c r="Y241" s="5">
        <v>265338</v>
      </c>
      <c r="Z241" s="5">
        <f t="shared" si="29"/>
        <v>265338</v>
      </c>
      <c r="AA241" s="20">
        <f t="shared" si="31"/>
        <v>0</v>
      </c>
    </row>
    <row r="242" spans="1:27" ht="12.75">
      <c r="A242" s="3" t="s">
        <v>1699</v>
      </c>
      <c r="B242" s="3" t="s">
        <v>2029</v>
      </c>
      <c r="C242" s="3" t="s">
        <v>2030</v>
      </c>
      <c r="D242" s="3" t="s">
        <v>2071</v>
      </c>
      <c r="E242" s="3" t="s">
        <v>1589</v>
      </c>
      <c r="F242" s="3" t="s">
        <v>2073</v>
      </c>
      <c r="G242" s="3" t="s">
        <v>1591</v>
      </c>
      <c r="H242" s="3" t="s">
        <v>1592</v>
      </c>
      <c r="I242" s="3" t="s">
        <v>2072</v>
      </c>
      <c r="J242" s="4">
        <v>0</v>
      </c>
      <c r="K242" s="4">
        <v>0</v>
      </c>
      <c r="L242" s="4">
        <v>0</v>
      </c>
      <c r="M242" s="4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f t="shared" si="28"/>
        <v>0</v>
      </c>
      <c r="U242" s="5">
        <v>10000</v>
      </c>
      <c r="V242" s="5">
        <v>0</v>
      </c>
      <c r="W242" s="5">
        <v>0</v>
      </c>
      <c r="X242" s="5">
        <v>0</v>
      </c>
      <c r="Y242" s="5">
        <v>10000</v>
      </c>
      <c r="Z242" s="5">
        <f t="shared" si="29"/>
        <v>10000</v>
      </c>
      <c r="AA242" s="20">
        <f t="shared" si="31"/>
        <v>0</v>
      </c>
    </row>
    <row r="243" spans="1:27" ht="12.75">
      <c r="A243" s="3" t="s">
        <v>1699</v>
      </c>
      <c r="B243" s="3" t="s">
        <v>2029</v>
      </c>
      <c r="C243" s="3" t="s">
        <v>2030</v>
      </c>
      <c r="D243" s="3" t="s">
        <v>2074</v>
      </c>
      <c r="E243" s="3" t="s">
        <v>1589</v>
      </c>
      <c r="F243" s="3" t="s">
        <v>2076</v>
      </c>
      <c r="G243" s="3" t="s">
        <v>1591</v>
      </c>
      <c r="H243" s="3" t="s">
        <v>1592</v>
      </c>
      <c r="I243" s="3" t="s">
        <v>2075</v>
      </c>
      <c r="J243" s="4">
        <v>0</v>
      </c>
      <c r="K243" s="4">
        <v>0</v>
      </c>
      <c r="L243" s="4">
        <v>3</v>
      </c>
      <c r="M243" s="4">
        <v>0</v>
      </c>
      <c r="N243" s="5">
        <v>68328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f t="shared" si="28"/>
        <v>68328</v>
      </c>
      <c r="U243" s="5">
        <v>17105</v>
      </c>
      <c r="V243" s="5">
        <v>0</v>
      </c>
      <c r="W243" s="5">
        <v>0</v>
      </c>
      <c r="X243" s="5">
        <v>1000</v>
      </c>
      <c r="Y243" s="5">
        <v>86433</v>
      </c>
      <c r="Z243" s="5">
        <f t="shared" si="29"/>
        <v>86433</v>
      </c>
      <c r="AA243" s="20">
        <f t="shared" si="31"/>
        <v>0</v>
      </c>
    </row>
    <row r="244" spans="1:27" ht="12.75">
      <c r="A244" s="3" t="s">
        <v>1699</v>
      </c>
      <c r="B244" s="3" t="s">
        <v>2029</v>
      </c>
      <c r="C244" s="3" t="s">
        <v>2030</v>
      </c>
      <c r="D244" s="3" t="s">
        <v>2077</v>
      </c>
      <c r="E244" s="3" t="s">
        <v>1589</v>
      </c>
      <c r="F244" s="3" t="s">
        <v>2079</v>
      </c>
      <c r="G244" s="3" t="s">
        <v>1591</v>
      </c>
      <c r="H244" s="3" t="s">
        <v>1592</v>
      </c>
      <c r="I244" s="3" t="s">
        <v>2078</v>
      </c>
      <c r="J244" s="4">
        <v>0</v>
      </c>
      <c r="K244" s="4">
        <v>0</v>
      </c>
      <c r="L244" s="4">
        <v>5</v>
      </c>
      <c r="M244" s="4">
        <v>0</v>
      </c>
      <c r="N244" s="5">
        <v>120780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f t="shared" si="28"/>
        <v>120780</v>
      </c>
      <c r="U244" s="5">
        <v>52963</v>
      </c>
      <c r="V244" s="5">
        <v>0</v>
      </c>
      <c r="W244" s="5">
        <v>0</v>
      </c>
      <c r="X244" s="5">
        <v>1000</v>
      </c>
      <c r="Y244" s="5">
        <v>174743</v>
      </c>
      <c r="Z244" s="5">
        <f t="shared" si="29"/>
        <v>174743</v>
      </c>
      <c r="AA244" s="20">
        <f t="shared" si="31"/>
        <v>0</v>
      </c>
    </row>
    <row r="245" spans="1:27" ht="12.75">
      <c r="A245" s="3" t="s">
        <v>1699</v>
      </c>
      <c r="B245" s="3" t="s">
        <v>2029</v>
      </c>
      <c r="C245" s="3" t="s">
        <v>2030</v>
      </c>
      <c r="D245" s="3" t="s">
        <v>2080</v>
      </c>
      <c r="E245" s="3" t="s">
        <v>1589</v>
      </c>
      <c r="F245" s="3" t="s">
        <v>2082</v>
      </c>
      <c r="G245" s="3" t="s">
        <v>1591</v>
      </c>
      <c r="H245" s="3" t="s">
        <v>1592</v>
      </c>
      <c r="I245" s="3" t="s">
        <v>931</v>
      </c>
      <c r="J245" s="4">
        <v>0</v>
      </c>
      <c r="K245" s="4">
        <v>0</v>
      </c>
      <c r="L245" s="4">
        <v>1</v>
      </c>
      <c r="M245" s="4">
        <v>1</v>
      </c>
      <c r="N245" s="5">
        <v>61284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f t="shared" si="28"/>
        <v>61284</v>
      </c>
      <c r="U245" s="5">
        <v>22063</v>
      </c>
      <c r="V245" s="5">
        <v>0</v>
      </c>
      <c r="W245" s="5">
        <v>0</v>
      </c>
      <c r="X245" s="5">
        <v>1000</v>
      </c>
      <c r="Y245" s="5">
        <v>84347</v>
      </c>
      <c r="Z245" s="5">
        <f t="shared" si="29"/>
        <v>84347</v>
      </c>
      <c r="AA245" s="20">
        <f t="shared" si="31"/>
        <v>0</v>
      </c>
    </row>
    <row r="246" spans="1:27" ht="13.5" thickBot="1">
      <c r="A246" s="3" t="s">
        <v>1699</v>
      </c>
      <c r="B246" s="3" t="s">
        <v>2029</v>
      </c>
      <c r="C246" s="3" t="s">
        <v>2030</v>
      </c>
      <c r="D246" s="3" t="s">
        <v>2083</v>
      </c>
      <c r="E246" s="3" t="s">
        <v>1589</v>
      </c>
      <c r="F246" s="3" t="s">
        <v>2085</v>
      </c>
      <c r="G246" s="3" t="s">
        <v>1591</v>
      </c>
      <c r="H246" s="3" t="s">
        <v>1592</v>
      </c>
      <c r="I246" s="3" t="s">
        <v>2354</v>
      </c>
      <c r="J246" s="6">
        <v>0</v>
      </c>
      <c r="K246" s="6">
        <v>0</v>
      </c>
      <c r="L246" s="6">
        <v>5</v>
      </c>
      <c r="M246" s="6">
        <v>0.75</v>
      </c>
      <c r="N246" s="7">
        <v>137997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f t="shared" si="28"/>
        <v>137997</v>
      </c>
      <c r="U246" s="7">
        <v>46625</v>
      </c>
      <c r="V246" s="7">
        <v>0</v>
      </c>
      <c r="W246" s="7">
        <v>0</v>
      </c>
      <c r="X246" s="7">
        <v>1000</v>
      </c>
      <c r="Y246" s="7">
        <v>185622</v>
      </c>
      <c r="Z246" s="7">
        <f t="shared" si="29"/>
        <v>185622</v>
      </c>
      <c r="AA246" s="20">
        <f t="shared" si="31"/>
        <v>0</v>
      </c>
    </row>
    <row r="247" spans="9:27" ht="12.75">
      <c r="I247" s="3" t="s">
        <v>157</v>
      </c>
      <c r="J247" s="4">
        <f aca="true" t="shared" si="35" ref="J247:Y247">SUM(J241:J246)</f>
        <v>1.333</v>
      </c>
      <c r="K247" s="4">
        <f t="shared" si="35"/>
        <v>0.334</v>
      </c>
      <c r="L247" s="4">
        <f t="shared" si="35"/>
        <v>18.22</v>
      </c>
      <c r="M247" s="4">
        <f t="shared" si="35"/>
        <v>1.75</v>
      </c>
      <c r="N247" s="5">
        <f t="shared" si="35"/>
        <v>649150</v>
      </c>
      <c r="O247" s="5">
        <f t="shared" si="35"/>
        <v>0</v>
      </c>
      <c r="P247" s="5">
        <f t="shared" si="35"/>
        <v>4577</v>
      </c>
      <c r="Q247" s="5">
        <f t="shared" si="35"/>
        <v>0</v>
      </c>
      <c r="R247" s="5">
        <f t="shared" si="35"/>
        <v>0</v>
      </c>
      <c r="S247" s="5">
        <f t="shared" si="35"/>
        <v>0</v>
      </c>
      <c r="T247" s="5">
        <f t="shared" si="35"/>
        <v>653727</v>
      </c>
      <c r="U247" s="5">
        <f t="shared" si="35"/>
        <v>148756</v>
      </c>
      <c r="V247" s="5">
        <f t="shared" si="35"/>
        <v>0</v>
      </c>
      <c r="W247" s="5">
        <f t="shared" si="35"/>
        <v>0</v>
      </c>
      <c r="X247" s="5">
        <f t="shared" si="35"/>
        <v>4000</v>
      </c>
      <c r="Y247" s="5">
        <f t="shared" si="35"/>
        <v>806483</v>
      </c>
      <c r="Z247" s="5">
        <f t="shared" si="29"/>
        <v>806483</v>
      </c>
      <c r="AA247" s="20">
        <f t="shared" si="31"/>
        <v>0</v>
      </c>
    </row>
    <row r="248" spans="10:27" ht="12.75">
      <c r="J248" s="4"/>
      <c r="K248" s="4"/>
      <c r="L248" s="4"/>
      <c r="M248" s="4"/>
      <c r="N248" s="5"/>
      <c r="O248" s="5"/>
      <c r="P248" s="5"/>
      <c r="Q248" s="5"/>
      <c r="R248" s="5"/>
      <c r="S248" s="5"/>
      <c r="T248" s="5" t="s">
        <v>2540</v>
      </c>
      <c r="U248" s="5"/>
      <c r="V248" s="5"/>
      <c r="W248" s="5"/>
      <c r="X248" s="5"/>
      <c r="Y248" s="5"/>
      <c r="Z248" s="5" t="s">
        <v>2540</v>
      </c>
      <c r="AA248" s="20" t="s">
        <v>2540</v>
      </c>
    </row>
    <row r="249" spans="9:27" ht="12.75">
      <c r="I249" s="3" t="s">
        <v>158</v>
      </c>
      <c r="J249" s="4"/>
      <c r="K249" s="4"/>
      <c r="L249" s="4"/>
      <c r="M249" s="4"/>
      <c r="N249" s="5"/>
      <c r="O249" s="5"/>
      <c r="P249" s="5"/>
      <c r="Q249" s="5"/>
      <c r="R249" s="5"/>
      <c r="S249" s="5"/>
      <c r="T249" s="5" t="s">
        <v>2540</v>
      </c>
      <c r="U249" s="5"/>
      <c r="V249" s="5"/>
      <c r="W249" s="5"/>
      <c r="X249" s="5"/>
      <c r="Y249" s="5"/>
      <c r="Z249" s="5" t="s">
        <v>2540</v>
      </c>
      <c r="AA249" s="20" t="s">
        <v>2540</v>
      </c>
    </row>
    <row r="250" spans="14:27" ht="12.75">
      <c r="N250" s="5"/>
      <c r="O250" s="5"/>
      <c r="P250" s="5"/>
      <c r="Q250" s="5"/>
      <c r="R250" s="5"/>
      <c r="S250" s="5"/>
      <c r="T250" s="5" t="s">
        <v>2540</v>
      </c>
      <c r="U250" s="5"/>
      <c r="V250" s="5"/>
      <c r="W250" s="5"/>
      <c r="X250" s="5"/>
      <c r="Y250" s="5"/>
      <c r="Z250" s="5" t="s">
        <v>2540</v>
      </c>
      <c r="AA250" s="20" t="s">
        <v>2540</v>
      </c>
    </row>
    <row r="251" spans="1:27" ht="12.75">
      <c r="A251" s="3" t="s">
        <v>1699</v>
      </c>
      <c r="B251" s="3" t="s">
        <v>2029</v>
      </c>
      <c r="C251" s="3" t="s">
        <v>2030</v>
      </c>
      <c r="D251" s="3" t="s">
        <v>2128</v>
      </c>
      <c r="E251" s="3" t="s">
        <v>2130</v>
      </c>
      <c r="F251" s="3" t="s">
        <v>2131</v>
      </c>
      <c r="G251" s="3" t="s">
        <v>2132</v>
      </c>
      <c r="H251" s="3" t="s">
        <v>1592</v>
      </c>
      <c r="I251" s="3" t="s">
        <v>2355</v>
      </c>
      <c r="J251" s="4">
        <v>0</v>
      </c>
      <c r="K251" s="4">
        <v>0</v>
      </c>
      <c r="L251" s="4">
        <v>0</v>
      </c>
      <c r="M251" s="4">
        <v>0</v>
      </c>
      <c r="N251" s="5">
        <v>0</v>
      </c>
      <c r="O251" s="5">
        <v>0</v>
      </c>
      <c r="P251" s="5">
        <v>58250</v>
      </c>
      <c r="Q251" s="5">
        <v>0</v>
      </c>
      <c r="R251" s="5">
        <v>0</v>
      </c>
      <c r="S251" s="5">
        <v>0</v>
      </c>
      <c r="T251" s="5">
        <f t="shared" si="28"/>
        <v>58250</v>
      </c>
      <c r="U251" s="5">
        <v>0</v>
      </c>
      <c r="V251" s="5">
        <v>0</v>
      </c>
      <c r="W251" s="5">
        <v>0</v>
      </c>
      <c r="X251" s="5">
        <v>0</v>
      </c>
      <c r="Y251" s="5">
        <v>58250</v>
      </c>
      <c r="Z251" s="5">
        <f t="shared" si="29"/>
        <v>58250</v>
      </c>
      <c r="AA251" s="20">
        <f t="shared" si="31"/>
        <v>0</v>
      </c>
    </row>
    <row r="252" spans="1:27" ht="12.75">
      <c r="A252" s="3" t="s">
        <v>1699</v>
      </c>
      <c r="B252" s="3" t="s">
        <v>2029</v>
      </c>
      <c r="C252" s="3" t="s">
        <v>2030</v>
      </c>
      <c r="D252" s="3" t="s">
        <v>2133</v>
      </c>
      <c r="E252" s="3" t="s">
        <v>2130</v>
      </c>
      <c r="F252" s="3" t="s">
        <v>2135</v>
      </c>
      <c r="G252" s="3" t="s">
        <v>2136</v>
      </c>
      <c r="H252" s="3" t="s">
        <v>1592</v>
      </c>
      <c r="I252" s="3" t="s">
        <v>2355</v>
      </c>
      <c r="J252" s="4">
        <v>0</v>
      </c>
      <c r="K252" s="4">
        <v>0</v>
      </c>
      <c r="L252" s="4">
        <v>0</v>
      </c>
      <c r="M252" s="4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f t="shared" si="28"/>
        <v>0</v>
      </c>
      <c r="U252" s="5">
        <v>8057</v>
      </c>
      <c r="V252" s="5">
        <v>0</v>
      </c>
      <c r="W252" s="5">
        <v>0</v>
      </c>
      <c r="X252" s="5">
        <v>0</v>
      </c>
      <c r="Y252" s="5">
        <v>8057</v>
      </c>
      <c r="Z252" s="5">
        <f t="shared" si="29"/>
        <v>8057</v>
      </c>
      <c r="AA252" s="20">
        <f t="shared" si="31"/>
        <v>0</v>
      </c>
    </row>
    <row r="253" spans="1:27" ht="12.75">
      <c r="A253" s="3" t="s">
        <v>1699</v>
      </c>
      <c r="B253" s="3" t="s">
        <v>2029</v>
      </c>
      <c r="C253" s="3" t="s">
        <v>2030</v>
      </c>
      <c r="D253" s="3" t="s">
        <v>2220</v>
      </c>
      <c r="E253" s="3" t="s">
        <v>2222</v>
      </c>
      <c r="F253" s="3" t="s">
        <v>2223</v>
      </c>
      <c r="G253" s="3" t="s">
        <v>2224</v>
      </c>
      <c r="H253" s="3" t="s">
        <v>1592</v>
      </c>
      <c r="I253" s="3" t="s">
        <v>2364</v>
      </c>
      <c r="J253" s="4">
        <v>0</v>
      </c>
      <c r="K253" s="4">
        <v>0</v>
      </c>
      <c r="L253" s="4">
        <v>0</v>
      </c>
      <c r="M253" s="4">
        <v>0</v>
      </c>
      <c r="N253" s="5">
        <v>0</v>
      </c>
      <c r="O253" s="5">
        <v>0</v>
      </c>
      <c r="P253" s="5">
        <v>67461</v>
      </c>
      <c r="Q253" s="5">
        <v>0</v>
      </c>
      <c r="R253" s="5">
        <v>0</v>
      </c>
      <c r="S253" s="5">
        <v>0</v>
      </c>
      <c r="T253" s="5">
        <f t="shared" si="28"/>
        <v>67461</v>
      </c>
      <c r="U253" s="5">
        <f>SUM(S253:S253)</f>
        <v>0</v>
      </c>
      <c r="V253" s="5">
        <v>0</v>
      </c>
      <c r="W253" s="5">
        <v>0</v>
      </c>
      <c r="X253" s="5">
        <v>0</v>
      </c>
      <c r="Y253" s="5">
        <v>67461</v>
      </c>
      <c r="Z253" s="5">
        <f t="shared" si="29"/>
        <v>67461</v>
      </c>
      <c r="AA253" s="20">
        <f t="shared" si="31"/>
        <v>0</v>
      </c>
    </row>
    <row r="254" spans="1:27" ht="12.75">
      <c r="A254" s="3" t="s">
        <v>1699</v>
      </c>
      <c r="B254" s="3" t="s">
        <v>2029</v>
      </c>
      <c r="C254" s="3" t="s">
        <v>2030</v>
      </c>
      <c r="D254" s="3" t="s">
        <v>2225</v>
      </c>
      <c r="E254" s="3" t="s">
        <v>2222</v>
      </c>
      <c r="F254" s="3" t="s">
        <v>2226</v>
      </c>
      <c r="G254" s="3" t="s">
        <v>2227</v>
      </c>
      <c r="H254" s="3" t="s">
        <v>1592</v>
      </c>
      <c r="I254" s="3" t="s">
        <v>2364</v>
      </c>
      <c r="J254" s="4">
        <v>0</v>
      </c>
      <c r="K254" s="4">
        <v>0</v>
      </c>
      <c r="L254" s="4">
        <v>0</v>
      </c>
      <c r="M254" s="4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f t="shared" si="28"/>
        <v>0</v>
      </c>
      <c r="U254" s="5">
        <v>17462</v>
      </c>
      <c r="V254" s="5">
        <v>0</v>
      </c>
      <c r="W254" s="5">
        <v>0</v>
      </c>
      <c r="X254" s="5">
        <v>0</v>
      </c>
      <c r="Y254" s="5">
        <v>17462</v>
      </c>
      <c r="Z254" s="5">
        <f t="shared" si="29"/>
        <v>17462</v>
      </c>
      <c r="AA254" s="20">
        <f t="shared" si="31"/>
        <v>0</v>
      </c>
    </row>
    <row r="255" spans="1:27" ht="12.75">
      <c r="A255" s="3" t="s">
        <v>1699</v>
      </c>
      <c r="B255" s="3" t="s">
        <v>2029</v>
      </c>
      <c r="C255" s="3" t="s">
        <v>2030</v>
      </c>
      <c r="D255" s="3" t="s">
        <v>2276</v>
      </c>
      <c r="E255" s="3" t="s">
        <v>2278</v>
      </c>
      <c r="F255" s="3" t="s">
        <v>2279</v>
      </c>
      <c r="G255" s="3" t="s">
        <v>2280</v>
      </c>
      <c r="H255" s="3" t="s">
        <v>1592</v>
      </c>
      <c r="I255" s="3" t="s">
        <v>2356</v>
      </c>
      <c r="J255" s="4">
        <v>0</v>
      </c>
      <c r="K255" s="4">
        <v>0</v>
      </c>
      <c r="L255" s="4">
        <v>0</v>
      </c>
      <c r="M255" s="4">
        <v>0</v>
      </c>
      <c r="N255" s="5">
        <v>0</v>
      </c>
      <c r="O255" s="5">
        <v>0</v>
      </c>
      <c r="P255" s="5">
        <v>30920</v>
      </c>
      <c r="Q255" s="5">
        <v>0</v>
      </c>
      <c r="R255" s="5">
        <v>0</v>
      </c>
      <c r="S255" s="5">
        <v>0</v>
      </c>
      <c r="T255" s="5">
        <f t="shared" si="28"/>
        <v>30920</v>
      </c>
      <c r="U255" s="5">
        <f>SUM(S255:S255)</f>
        <v>0</v>
      </c>
      <c r="V255" s="5">
        <v>0</v>
      </c>
      <c r="W255" s="5">
        <v>0</v>
      </c>
      <c r="X255" s="5">
        <v>0</v>
      </c>
      <c r="Y255" s="5">
        <v>30920</v>
      </c>
      <c r="Z255" s="5">
        <f t="shared" si="29"/>
        <v>30920</v>
      </c>
      <c r="AA255" s="20">
        <f t="shared" si="31"/>
        <v>0</v>
      </c>
    </row>
    <row r="256" spans="1:27" ht="12.75">
      <c r="A256" s="3" t="s">
        <v>1699</v>
      </c>
      <c r="B256" s="3" t="s">
        <v>2029</v>
      </c>
      <c r="C256" s="3" t="s">
        <v>2030</v>
      </c>
      <c r="D256" s="3" t="s">
        <v>2281</v>
      </c>
      <c r="E256" s="3" t="s">
        <v>2278</v>
      </c>
      <c r="F256" s="3" t="s">
        <v>2283</v>
      </c>
      <c r="G256" s="3" t="s">
        <v>2284</v>
      </c>
      <c r="H256" s="3" t="s">
        <v>1592</v>
      </c>
      <c r="I256" s="3" t="s">
        <v>2356</v>
      </c>
      <c r="J256" s="4">
        <v>0</v>
      </c>
      <c r="K256" s="4">
        <v>0</v>
      </c>
      <c r="L256" s="4">
        <v>0</v>
      </c>
      <c r="M256" s="4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f t="shared" si="28"/>
        <v>0</v>
      </c>
      <c r="U256" s="5">
        <v>18955</v>
      </c>
      <c r="V256" s="5">
        <v>0</v>
      </c>
      <c r="W256" s="5">
        <v>0</v>
      </c>
      <c r="X256" s="5">
        <v>0</v>
      </c>
      <c r="Y256" s="5">
        <v>18955</v>
      </c>
      <c r="Z256" s="5">
        <f t="shared" si="29"/>
        <v>18955</v>
      </c>
      <c r="AA256" s="20">
        <f t="shared" si="31"/>
        <v>0</v>
      </c>
    </row>
    <row r="257" spans="1:27" ht="12.75">
      <c r="A257" s="3" t="s">
        <v>1699</v>
      </c>
      <c r="B257" s="3" t="s">
        <v>2029</v>
      </c>
      <c r="C257" s="3" t="s">
        <v>2030</v>
      </c>
      <c r="D257" s="3" t="s">
        <v>2305</v>
      </c>
      <c r="E257" s="3" t="s">
        <v>2307</v>
      </c>
      <c r="F257" s="3" t="s">
        <v>2308</v>
      </c>
      <c r="G257" s="3" t="s">
        <v>2309</v>
      </c>
      <c r="H257" s="3" t="s">
        <v>1592</v>
      </c>
      <c r="I257" s="3" t="s">
        <v>2365</v>
      </c>
      <c r="J257" s="4">
        <v>0</v>
      </c>
      <c r="K257" s="4">
        <v>0</v>
      </c>
      <c r="L257" s="4">
        <v>0</v>
      </c>
      <c r="M257" s="4">
        <v>0</v>
      </c>
      <c r="N257" s="5">
        <v>0</v>
      </c>
      <c r="O257" s="5">
        <v>0</v>
      </c>
      <c r="P257" s="5">
        <v>138637</v>
      </c>
      <c r="Q257" s="5">
        <v>0</v>
      </c>
      <c r="R257" s="5">
        <v>0</v>
      </c>
      <c r="S257" s="5">
        <v>0</v>
      </c>
      <c r="T257" s="5">
        <f t="shared" si="28"/>
        <v>138637</v>
      </c>
      <c r="U257" s="5">
        <f>SUM(S257:S257)</f>
        <v>0</v>
      </c>
      <c r="V257" s="5">
        <v>0</v>
      </c>
      <c r="W257" s="5">
        <v>0</v>
      </c>
      <c r="X257" s="5">
        <v>0</v>
      </c>
      <c r="Y257" s="5">
        <v>138637</v>
      </c>
      <c r="Z257" s="5">
        <f t="shared" si="29"/>
        <v>138637</v>
      </c>
      <c r="AA257" s="20">
        <f t="shared" si="31"/>
        <v>0</v>
      </c>
    </row>
    <row r="258" spans="1:27" ht="12.75">
      <c r="A258" s="3" t="s">
        <v>1699</v>
      </c>
      <c r="B258" s="3" t="s">
        <v>2029</v>
      </c>
      <c r="C258" s="3" t="s">
        <v>2030</v>
      </c>
      <c r="D258" s="3" t="s">
        <v>2310</v>
      </c>
      <c r="E258" s="3" t="s">
        <v>2307</v>
      </c>
      <c r="F258" s="3" t="s">
        <v>2312</v>
      </c>
      <c r="G258" s="3" t="s">
        <v>2313</v>
      </c>
      <c r="H258" s="3" t="s">
        <v>1592</v>
      </c>
      <c r="I258" s="3" t="s">
        <v>2365</v>
      </c>
      <c r="J258" s="4">
        <v>0</v>
      </c>
      <c r="K258" s="4">
        <v>0</v>
      </c>
      <c r="L258" s="4">
        <v>0</v>
      </c>
      <c r="M258" s="4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f t="shared" si="28"/>
        <v>0</v>
      </c>
      <c r="U258" s="5">
        <v>25000</v>
      </c>
      <c r="V258" s="5">
        <v>0</v>
      </c>
      <c r="W258" s="5">
        <v>0</v>
      </c>
      <c r="X258" s="5">
        <v>0</v>
      </c>
      <c r="Y258" s="5">
        <v>25000</v>
      </c>
      <c r="Z258" s="5">
        <f t="shared" si="29"/>
        <v>25000</v>
      </c>
      <c r="AA258" s="20">
        <f t="shared" si="31"/>
        <v>0</v>
      </c>
    </row>
    <row r="259" spans="1:27" ht="12.75">
      <c r="A259" s="3" t="s">
        <v>1699</v>
      </c>
      <c r="B259" s="3" t="s">
        <v>2029</v>
      </c>
      <c r="C259" s="3" t="s">
        <v>2030</v>
      </c>
      <c r="D259" s="3" t="s">
        <v>2427</v>
      </c>
      <c r="E259" s="3" t="s">
        <v>2429</v>
      </c>
      <c r="F259" s="3" t="s">
        <v>2430</v>
      </c>
      <c r="G259" s="3" t="s">
        <v>2431</v>
      </c>
      <c r="H259" s="3" t="s">
        <v>1592</v>
      </c>
      <c r="I259" s="3" t="s">
        <v>2357</v>
      </c>
      <c r="J259" s="4">
        <v>0</v>
      </c>
      <c r="K259" s="4">
        <v>0</v>
      </c>
      <c r="L259" s="4">
        <v>0</v>
      </c>
      <c r="M259" s="4">
        <v>0</v>
      </c>
      <c r="N259" s="5">
        <v>0</v>
      </c>
      <c r="O259" s="5">
        <v>0</v>
      </c>
      <c r="P259" s="5">
        <v>6611</v>
      </c>
      <c r="Q259" s="5">
        <v>0</v>
      </c>
      <c r="R259" s="5">
        <v>0</v>
      </c>
      <c r="S259" s="5">
        <v>0</v>
      </c>
      <c r="T259" s="5">
        <f t="shared" si="28"/>
        <v>6611</v>
      </c>
      <c r="U259" s="5">
        <f>SUM(S259:S259)</f>
        <v>0</v>
      </c>
      <c r="V259" s="5">
        <v>0</v>
      </c>
      <c r="W259" s="5">
        <v>0</v>
      </c>
      <c r="X259" s="5">
        <v>0</v>
      </c>
      <c r="Y259" s="5">
        <v>6611</v>
      </c>
      <c r="Z259" s="5">
        <f t="shared" si="29"/>
        <v>6611</v>
      </c>
      <c r="AA259" s="20">
        <f t="shared" si="31"/>
        <v>0</v>
      </c>
    </row>
    <row r="260" spans="1:27" ht="12.75">
      <c r="A260" s="3" t="s">
        <v>1699</v>
      </c>
      <c r="B260" s="3" t="s">
        <v>2029</v>
      </c>
      <c r="C260" s="3" t="s">
        <v>2030</v>
      </c>
      <c r="D260" s="3" t="s">
        <v>2432</v>
      </c>
      <c r="E260" s="3" t="s">
        <v>2429</v>
      </c>
      <c r="F260" s="3" t="s">
        <v>2434</v>
      </c>
      <c r="G260" s="3" t="s">
        <v>2435</v>
      </c>
      <c r="H260" s="3" t="s">
        <v>1592</v>
      </c>
      <c r="I260" s="3" t="s">
        <v>2358</v>
      </c>
      <c r="J260" s="4">
        <v>0</v>
      </c>
      <c r="K260" s="4">
        <v>0</v>
      </c>
      <c r="L260" s="4">
        <v>0</v>
      </c>
      <c r="M260" s="4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f t="shared" si="28"/>
        <v>0</v>
      </c>
      <c r="U260" s="5">
        <v>8129</v>
      </c>
      <c r="V260" s="5">
        <v>0</v>
      </c>
      <c r="W260" s="5">
        <v>0</v>
      </c>
      <c r="X260" s="5">
        <v>0</v>
      </c>
      <c r="Y260" s="5">
        <v>8129</v>
      </c>
      <c r="Z260" s="5">
        <f t="shared" si="29"/>
        <v>8129</v>
      </c>
      <c r="AA260" s="20">
        <f t="shared" si="31"/>
        <v>0</v>
      </c>
    </row>
    <row r="261" spans="1:27" ht="12.75">
      <c r="A261" s="3" t="s">
        <v>1699</v>
      </c>
      <c r="B261" s="3" t="s">
        <v>2029</v>
      </c>
      <c r="C261" s="3" t="s">
        <v>2030</v>
      </c>
      <c r="D261" s="3" t="s">
        <v>2444</v>
      </c>
      <c r="E261" s="3" t="s">
        <v>2449</v>
      </c>
      <c r="F261" s="3" t="s">
        <v>2450</v>
      </c>
      <c r="G261" s="3" t="s">
        <v>2451</v>
      </c>
      <c r="H261" s="3" t="s">
        <v>1592</v>
      </c>
      <c r="I261" s="3" t="s">
        <v>2366</v>
      </c>
      <c r="J261" s="4">
        <v>0</v>
      </c>
      <c r="K261" s="4">
        <v>0</v>
      </c>
      <c r="L261" s="4">
        <v>0</v>
      </c>
      <c r="M261" s="4">
        <v>0</v>
      </c>
      <c r="N261" s="5">
        <v>0</v>
      </c>
      <c r="O261" s="5">
        <v>0</v>
      </c>
      <c r="P261" s="5">
        <v>5000</v>
      </c>
      <c r="Q261" s="5">
        <v>0</v>
      </c>
      <c r="R261" s="5">
        <v>0</v>
      </c>
      <c r="S261" s="5">
        <v>0</v>
      </c>
      <c r="T261" s="5">
        <f t="shared" si="28"/>
        <v>5000</v>
      </c>
      <c r="U261" s="5">
        <f>SUM(S261:S261)</f>
        <v>0</v>
      </c>
      <c r="V261" s="5">
        <v>0</v>
      </c>
      <c r="W261" s="5">
        <v>0</v>
      </c>
      <c r="X261" s="5">
        <v>0</v>
      </c>
      <c r="Y261" s="5">
        <v>5000</v>
      </c>
      <c r="Z261" s="5">
        <f t="shared" si="29"/>
        <v>5000</v>
      </c>
      <c r="AA261" s="20">
        <f t="shared" si="31"/>
        <v>0</v>
      </c>
    </row>
    <row r="262" spans="1:27" ht="13.5" thickBot="1">
      <c r="A262" s="3" t="s">
        <v>1699</v>
      </c>
      <c r="B262" s="3" t="s">
        <v>2029</v>
      </c>
      <c r="C262" s="3" t="s">
        <v>2030</v>
      </c>
      <c r="D262" s="3" t="s">
        <v>2452</v>
      </c>
      <c r="E262" s="3" t="s">
        <v>2449</v>
      </c>
      <c r="F262" s="3" t="s">
        <v>2454</v>
      </c>
      <c r="G262" s="3" t="s">
        <v>2455</v>
      </c>
      <c r="H262" s="3" t="s">
        <v>1592</v>
      </c>
      <c r="I262" s="3" t="s">
        <v>2366</v>
      </c>
      <c r="J262" s="6">
        <v>0</v>
      </c>
      <c r="K262" s="6">
        <v>0</v>
      </c>
      <c r="L262" s="6">
        <v>0</v>
      </c>
      <c r="M262" s="6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f t="shared" si="28"/>
        <v>0</v>
      </c>
      <c r="U262" s="7">
        <v>23287</v>
      </c>
      <c r="V262" s="7">
        <v>0</v>
      </c>
      <c r="W262" s="7">
        <v>0</v>
      </c>
      <c r="X262" s="7">
        <v>0</v>
      </c>
      <c r="Y262" s="7">
        <v>23287</v>
      </c>
      <c r="Z262" s="7">
        <f t="shared" si="29"/>
        <v>23287</v>
      </c>
      <c r="AA262" s="20">
        <f t="shared" si="31"/>
        <v>0</v>
      </c>
    </row>
    <row r="263" spans="9:27" ht="12.75">
      <c r="I263" s="3" t="s">
        <v>159</v>
      </c>
      <c r="J263" s="4">
        <f aca="true" t="shared" si="36" ref="J263:Y263">SUM(J251:J262)</f>
        <v>0</v>
      </c>
      <c r="K263" s="4">
        <f t="shared" si="36"/>
        <v>0</v>
      </c>
      <c r="L263" s="4">
        <f t="shared" si="36"/>
        <v>0</v>
      </c>
      <c r="M263" s="4">
        <f t="shared" si="36"/>
        <v>0</v>
      </c>
      <c r="N263" s="5">
        <f t="shared" si="36"/>
        <v>0</v>
      </c>
      <c r="O263" s="5">
        <f t="shared" si="36"/>
        <v>0</v>
      </c>
      <c r="P263" s="5">
        <f t="shared" si="36"/>
        <v>306879</v>
      </c>
      <c r="Q263" s="5">
        <f t="shared" si="36"/>
        <v>0</v>
      </c>
      <c r="R263" s="5">
        <f t="shared" si="36"/>
        <v>0</v>
      </c>
      <c r="S263" s="5">
        <f t="shared" si="36"/>
        <v>0</v>
      </c>
      <c r="T263" s="5">
        <f t="shared" si="36"/>
        <v>306879</v>
      </c>
      <c r="U263" s="5">
        <f t="shared" si="36"/>
        <v>100890</v>
      </c>
      <c r="V263" s="5">
        <f t="shared" si="36"/>
        <v>0</v>
      </c>
      <c r="W263" s="5">
        <f t="shared" si="36"/>
        <v>0</v>
      </c>
      <c r="X263" s="5">
        <f t="shared" si="36"/>
        <v>0</v>
      </c>
      <c r="Y263" s="5">
        <f t="shared" si="36"/>
        <v>407769</v>
      </c>
      <c r="Z263" s="5">
        <f t="shared" si="29"/>
        <v>407769</v>
      </c>
      <c r="AA263" s="20">
        <f t="shared" si="31"/>
        <v>0</v>
      </c>
    </row>
    <row r="264" spans="10:27" ht="12.75">
      <c r="J264" s="4"/>
      <c r="K264" s="4"/>
      <c r="L264" s="4"/>
      <c r="M264" s="4"/>
      <c r="N264" s="5"/>
      <c r="O264" s="5"/>
      <c r="P264" s="5"/>
      <c r="Q264" s="5"/>
      <c r="R264" s="5"/>
      <c r="S264" s="5"/>
      <c r="T264" s="5" t="s">
        <v>2540</v>
      </c>
      <c r="U264" s="5"/>
      <c r="V264" s="5"/>
      <c r="W264" s="5"/>
      <c r="X264" s="5"/>
      <c r="Y264" s="5"/>
      <c r="Z264" s="5" t="s">
        <v>2540</v>
      </c>
      <c r="AA264" s="20" t="s">
        <v>2540</v>
      </c>
    </row>
    <row r="265" spans="1:27" ht="12.75">
      <c r="A265" s="3" t="s">
        <v>1699</v>
      </c>
      <c r="B265" s="3" t="s">
        <v>2029</v>
      </c>
      <c r="C265" s="3" t="s">
        <v>2030</v>
      </c>
      <c r="D265" s="3" t="s">
        <v>2086</v>
      </c>
      <c r="E265" s="3" t="s">
        <v>1589</v>
      </c>
      <c r="F265" s="3" t="s">
        <v>2092</v>
      </c>
      <c r="G265" s="3" t="s">
        <v>1591</v>
      </c>
      <c r="H265" s="3" t="s">
        <v>1592</v>
      </c>
      <c r="I265" s="3" t="s">
        <v>2359</v>
      </c>
      <c r="J265" s="4">
        <v>0</v>
      </c>
      <c r="K265" s="4">
        <v>4.918</v>
      </c>
      <c r="L265" s="4">
        <v>1.283</v>
      </c>
      <c r="M265" s="4">
        <v>0.5</v>
      </c>
      <c r="N265" s="5">
        <v>321057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f t="shared" si="28"/>
        <v>321057</v>
      </c>
      <c r="U265" s="5">
        <f>SUM(S265:S265)</f>
        <v>0</v>
      </c>
      <c r="V265" s="5">
        <v>0</v>
      </c>
      <c r="W265" s="5">
        <v>0</v>
      </c>
      <c r="X265" s="5">
        <v>0</v>
      </c>
      <c r="Y265" s="5">
        <v>321057</v>
      </c>
      <c r="Z265" s="5">
        <f t="shared" si="29"/>
        <v>321057</v>
      </c>
      <c r="AA265" s="20">
        <f t="shared" si="31"/>
        <v>0</v>
      </c>
    </row>
    <row r="266" spans="1:27" ht="12.75">
      <c r="A266" s="3" t="s">
        <v>1699</v>
      </c>
      <c r="B266" s="3" t="s">
        <v>2029</v>
      </c>
      <c r="C266" s="3" t="s">
        <v>2030</v>
      </c>
      <c r="D266" s="3" t="s">
        <v>2093</v>
      </c>
      <c r="E266" s="3" t="s">
        <v>1589</v>
      </c>
      <c r="F266" s="3" t="s">
        <v>2094</v>
      </c>
      <c r="G266" s="3" t="s">
        <v>1591</v>
      </c>
      <c r="H266" s="3" t="s">
        <v>1592</v>
      </c>
      <c r="I266" s="3" t="s">
        <v>2359</v>
      </c>
      <c r="J266" s="4">
        <v>0</v>
      </c>
      <c r="K266" s="4">
        <v>0</v>
      </c>
      <c r="L266" s="4">
        <v>0</v>
      </c>
      <c r="M266" s="4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f t="shared" si="28"/>
        <v>0</v>
      </c>
      <c r="U266" s="5">
        <v>10328</v>
      </c>
      <c r="V266" s="5">
        <v>0</v>
      </c>
      <c r="W266" s="5">
        <v>0</v>
      </c>
      <c r="X266" s="5">
        <v>0</v>
      </c>
      <c r="Y266" s="5">
        <v>10328</v>
      </c>
      <c r="Z266" s="5">
        <f t="shared" si="29"/>
        <v>10328</v>
      </c>
      <c r="AA266" s="20">
        <f t="shared" si="31"/>
        <v>0</v>
      </c>
    </row>
    <row r="267" spans="1:27" ht="12.75">
      <c r="A267" s="3" t="s">
        <v>1699</v>
      </c>
      <c r="B267" s="3" t="s">
        <v>2029</v>
      </c>
      <c r="C267" s="3" t="s">
        <v>2030</v>
      </c>
      <c r="D267" s="3" t="s">
        <v>2137</v>
      </c>
      <c r="E267" s="3" t="s">
        <v>2130</v>
      </c>
      <c r="F267" s="3" t="s">
        <v>2139</v>
      </c>
      <c r="G267" s="3" t="s">
        <v>2140</v>
      </c>
      <c r="H267" s="3" t="s">
        <v>1592</v>
      </c>
      <c r="I267" s="3" t="s">
        <v>2360</v>
      </c>
      <c r="J267" s="4">
        <v>0</v>
      </c>
      <c r="K267" s="4">
        <v>0</v>
      </c>
      <c r="L267" s="4">
        <v>0.334</v>
      </c>
      <c r="M267" s="4">
        <v>0</v>
      </c>
      <c r="N267" s="5">
        <v>7656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f aca="true" t="shared" si="37" ref="T267:T330">SUM(N267:R267)</f>
        <v>7656</v>
      </c>
      <c r="U267" s="5">
        <f>SUM(S267:S267)</f>
        <v>0</v>
      </c>
      <c r="V267" s="5">
        <v>0</v>
      </c>
      <c r="W267" s="5">
        <v>0</v>
      </c>
      <c r="X267" s="5">
        <v>0</v>
      </c>
      <c r="Y267" s="5">
        <v>7656</v>
      </c>
      <c r="Z267" s="5">
        <f aca="true" t="shared" si="38" ref="Z267:Z330">SUM(T267:X267)</f>
        <v>7656</v>
      </c>
      <c r="AA267" s="20">
        <f t="shared" si="31"/>
        <v>0</v>
      </c>
    </row>
    <row r="268" spans="1:27" ht="12.75">
      <c r="A268" s="3" t="s">
        <v>1699</v>
      </c>
      <c r="B268" s="3" t="s">
        <v>2029</v>
      </c>
      <c r="C268" s="3" t="s">
        <v>2030</v>
      </c>
      <c r="D268" s="3" t="s">
        <v>2141</v>
      </c>
      <c r="E268" s="3" t="s">
        <v>2130</v>
      </c>
      <c r="F268" s="3" t="s">
        <v>2176</v>
      </c>
      <c r="G268" s="3" t="s">
        <v>2177</v>
      </c>
      <c r="H268" s="3" t="s">
        <v>1592</v>
      </c>
      <c r="I268" s="3" t="s">
        <v>2360</v>
      </c>
      <c r="J268" s="4">
        <v>0</v>
      </c>
      <c r="K268" s="4">
        <v>0</v>
      </c>
      <c r="L268" s="4">
        <v>0</v>
      </c>
      <c r="M268" s="4">
        <v>0</v>
      </c>
      <c r="N268" s="5">
        <v>0</v>
      </c>
      <c r="O268" s="5">
        <v>0</v>
      </c>
      <c r="P268" s="5">
        <v>0</v>
      </c>
      <c r="Q268" s="5">
        <v>1020</v>
      </c>
      <c r="R268" s="5">
        <v>0</v>
      </c>
      <c r="S268" s="5">
        <v>0</v>
      </c>
      <c r="T268" s="5">
        <f t="shared" si="37"/>
        <v>1020</v>
      </c>
      <c r="U268" s="5">
        <v>1000</v>
      </c>
      <c r="V268" s="5">
        <v>0</v>
      </c>
      <c r="W268" s="5">
        <v>0</v>
      </c>
      <c r="X268" s="5">
        <v>0</v>
      </c>
      <c r="Y268" s="5">
        <v>2020</v>
      </c>
      <c r="Z268" s="5">
        <f t="shared" si="38"/>
        <v>2020</v>
      </c>
      <c r="AA268" s="20">
        <f aca="true" t="shared" si="39" ref="AA268:AA331">+Y268-Z268</f>
        <v>0</v>
      </c>
    </row>
    <row r="269" spans="1:27" ht="12.75">
      <c r="A269" s="3" t="s">
        <v>1699</v>
      </c>
      <c r="B269" s="3" t="s">
        <v>2029</v>
      </c>
      <c r="C269" s="3" t="s">
        <v>2030</v>
      </c>
      <c r="D269" s="3" t="s">
        <v>2228</v>
      </c>
      <c r="E269" s="3" t="s">
        <v>2222</v>
      </c>
      <c r="F269" s="3" t="s">
        <v>2230</v>
      </c>
      <c r="G269" s="3" t="s">
        <v>2231</v>
      </c>
      <c r="H269" s="3" t="s">
        <v>1592</v>
      </c>
      <c r="I269" s="3" t="s">
        <v>2367</v>
      </c>
      <c r="J269" s="4">
        <v>0</v>
      </c>
      <c r="K269" s="4">
        <v>0.333</v>
      </c>
      <c r="L269" s="4">
        <v>0</v>
      </c>
      <c r="M269" s="4">
        <v>0</v>
      </c>
      <c r="N269" s="5">
        <v>22578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f t="shared" si="37"/>
        <v>22578</v>
      </c>
      <c r="U269" s="5">
        <v>0</v>
      </c>
      <c r="V269" s="5">
        <v>0</v>
      </c>
      <c r="W269" s="5">
        <v>0</v>
      </c>
      <c r="X269" s="5">
        <v>0</v>
      </c>
      <c r="Y269" s="5">
        <v>22578</v>
      </c>
      <c r="Z269" s="5">
        <f t="shared" si="38"/>
        <v>22578</v>
      </c>
      <c r="AA269" s="20">
        <f t="shared" si="39"/>
        <v>0</v>
      </c>
    </row>
    <row r="270" spans="1:27" ht="12.75">
      <c r="A270" s="3" t="s">
        <v>1699</v>
      </c>
      <c r="B270" s="3" t="s">
        <v>2029</v>
      </c>
      <c r="C270" s="3" t="s">
        <v>2030</v>
      </c>
      <c r="D270" s="3" t="s">
        <v>2232</v>
      </c>
      <c r="E270" s="3" t="s">
        <v>2222</v>
      </c>
      <c r="F270" s="3" t="s">
        <v>2234</v>
      </c>
      <c r="G270" s="3" t="s">
        <v>2235</v>
      </c>
      <c r="H270" s="3" t="s">
        <v>1592</v>
      </c>
      <c r="I270" s="3" t="s">
        <v>2367</v>
      </c>
      <c r="J270" s="4">
        <v>0</v>
      </c>
      <c r="K270" s="4">
        <v>0</v>
      </c>
      <c r="L270" s="4">
        <v>0</v>
      </c>
      <c r="M270" s="4">
        <v>0</v>
      </c>
      <c r="N270" s="5">
        <v>0</v>
      </c>
      <c r="O270" s="5">
        <v>0</v>
      </c>
      <c r="P270" s="5">
        <v>0</v>
      </c>
      <c r="Q270" s="5">
        <v>7647</v>
      </c>
      <c r="R270" s="5">
        <v>0</v>
      </c>
      <c r="S270" s="5">
        <v>0</v>
      </c>
      <c r="T270" s="5">
        <f t="shared" si="37"/>
        <v>7647</v>
      </c>
      <c r="U270" s="5">
        <v>2000</v>
      </c>
      <c r="V270" s="5">
        <v>0</v>
      </c>
      <c r="W270" s="5">
        <v>0</v>
      </c>
      <c r="X270" s="5">
        <v>0</v>
      </c>
      <c r="Y270" s="5">
        <v>9647</v>
      </c>
      <c r="Z270" s="5">
        <f t="shared" si="38"/>
        <v>9647</v>
      </c>
      <c r="AA270" s="20">
        <f t="shared" si="39"/>
        <v>0</v>
      </c>
    </row>
    <row r="271" spans="1:27" ht="12.75">
      <c r="A271" s="3" t="s">
        <v>1699</v>
      </c>
      <c r="B271" s="3" t="s">
        <v>2029</v>
      </c>
      <c r="C271" s="3" t="s">
        <v>2030</v>
      </c>
      <c r="D271" s="3" t="s">
        <v>2285</v>
      </c>
      <c r="E271" s="3" t="s">
        <v>2278</v>
      </c>
      <c r="F271" s="3" t="s">
        <v>2287</v>
      </c>
      <c r="G271" s="3" t="s">
        <v>2288</v>
      </c>
      <c r="H271" s="3" t="s">
        <v>1592</v>
      </c>
      <c r="I271" s="3" t="s">
        <v>2361</v>
      </c>
      <c r="J271" s="4">
        <v>0</v>
      </c>
      <c r="K271" s="4">
        <v>0</v>
      </c>
      <c r="L271" s="4">
        <v>0</v>
      </c>
      <c r="M271" s="4">
        <v>0</v>
      </c>
      <c r="N271" s="5">
        <v>0</v>
      </c>
      <c r="O271" s="5">
        <v>0</v>
      </c>
      <c r="P271" s="5">
        <v>0</v>
      </c>
      <c r="Q271" s="5">
        <v>1020</v>
      </c>
      <c r="R271" s="5">
        <v>0</v>
      </c>
      <c r="S271" s="5">
        <v>0</v>
      </c>
      <c r="T271" s="5">
        <f t="shared" si="37"/>
        <v>1020</v>
      </c>
      <c r="U271" s="5">
        <v>2000</v>
      </c>
      <c r="V271" s="5">
        <v>0</v>
      </c>
      <c r="W271" s="5">
        <v>0</v>
      </c>
      <c r="X271" s="5">
        <v>0</v>
      </c>
      <c r="Y271" s="5">
        <v>3020</v>
      </c>
      <c r="Z271" s="5">
        <f t="shared" si="38"/>
        <v>3020</v>
      </c>
      <c r="AA271" s="20">
        <f t="shared" si="39"/>
        <v>0</v>
      </c>
    </row>
    <row r="272" spans="1:27" ht="13.5" thickBot="1">
      <c r="A272" s="3" t="s">
        <v>1699</v>
      </c>
      <c r="B272" s="3" t="s">
        <v>2029</v>
      </c>
      <c r="C272" s="3" t="s">
        <v>2030</v>
      </c>
      <c r="D272" s="3" t="s">
        <v>2314</v>
      </c>
      <c r="E272" s="3" t="s">
        <v>2307</v>
      </c>
      <c r="F272" s="3" t="s">
        <v>2316</v>
      </c>
      <c r="G272" s="3" t="s">
        <v>2317</v>
      </c>
      <c r="H272" s="3" t="s">
        <v>1592</v>
      </c>
      <c r="I272" s="3" t="s">
        <v>2368</v>
      </c>
      <c r="J272" s="6">
        <v>0</v>
      </c>
      <c r="K272" s="6">
        <v>0</v>
      </c>
      <c r="L272" s="6">
        <v>0</v>
      </c>
      <c r="M272" s="6">
        <v>0</v>
      </c>
      <c r="N272" s="7">
        <v>0</v>
      </c>
      <c r="O272" s="7">
        <v>0</v>
      </c>
      <c r="P272" s="7">
        <v>0</v>
      </c>
      <c r="Q272" s="7">
        <v>7647</v>
      </c>
      <c r="R272" s="7">
        <v>0</v>
      </c>
      <c r="S272" s="7">
        <v>0</v>
      </c>
      <c r="T272" s="7">
        <f t="shared" si="37"/>
        <v>7647</v>
      </c>
      <c r="U272" s="7">
        <v>4000</v>
      </c>
      <c r="V272" s="7">
        <v>0</v>
      </c>
      <c r="W272" s="7">
        <v>0</v>
      </c>
      <c r="X272" s="7">
        <v>0</v>
      </c>
      <c r="Y272" s="7">
        <v>11647</v>
      </c>
      <c r="Z272" s="7">
        <f t="shared" si="38"/>
        <v>11647</v>
      </c>
      <c r="AA272" s="20">
        <f t="shared" si="39"/>
        <v>0</v>
      </c>
    </row>
    <row r="273" spans="9:27" ht="12.75">
      <c r="I273" s="3" t="s">
        <v>160</v>
      </c>
      <c r="J273" s="22">
        <f aca="true" t="shared" si="40" ref="J273:Y273">SUM(J265:J272)</f>
        <v>0</v>
      </c>
      <c r="K273" s="22">
        <f t="shared" si="40"/>
        <v>5.251</v>
      </c>
      <c r="L273" s="22">
        <f t="shared" si="40"/>
        <v>1.617</v>
      </c>
      <c r="M273" s="22">
        <f t="shared" si="40"/>
        <v>0.5</v>
      </c>
      <c r="N273" s="5">
        <f t="shared" si="40"/>
        <v>351291</v>
      </c>
      <c r="O273" s="5">
        <f t="shared" si="40"/>
        <v>0</v>
      </c>
      <c r="P273" s="5">
        <f t="shared" si="40"/>
        <v>0</v>
      </c>
      <c r="Q273" s="5">
        <f t="shared" si="40"/>
        <v>17334</v>
      </c>
      <c r="R273" s="5">
        <f t="shared" si="40"/>
        <v>0</v>
      </c>
      <c r="S273" s="5">
        <f t="shared" si="40"/>
        <v>0</v>
      </c>
      <c r="T273" s="5">
        <f t="shared" si="40"/>
        <v>368625</v>
      </c>
      <c r="U273" s="5">
        <f t="shared" si="40"/>
        <v>19328</v>
      </c>
      <c r="V273" s="5">
        <f t="shared" si="40"/>
        <v>0</v>
      </c>
      <c r="W273" s="5">
        <f t="shared" si="40"/>
        <v>0</v>
      </c>
      <c r="X273" s="5">
        <f t="shared" si="40"/>
        <v>0</v>
      </c>
      <c r="Y273" s="5">
        <f t="shared" si="40"/>
        <v>387953</v>
      </c>
      <c r="Z273" s="5">
        <f t="shared" si="38"/>
        <v>387953</v>
      </c>
      <c r="AA273" s="20">
        <f t="shared" si="39"/>
        <v>0</v>
      </c>
    </row>
    <row r="274" spans="10:27" ht="12.75">
      <c r="J274" s="4"/>
      <c r="K274" s="4"/>
      <c r="L274" s="4"/>
      <c r="M274" s="4"/>
      <c r="N274" s="5"/>
      <c r="O274" s="5"/>
      <c r="P274" s="5"/>
      <c r="Q274" s="5"/>
      <c r="R274" s="5"/>
      <c r="S274" s="5"/>
      <c r="T274" s="5" t="s">
        <v>2540</v>
      </c>
      <c r="U274" s="5"/>
      <c r="V274" s="5"/>
      <c r="W274" s="5"/>
      <c r="X274" s="5"/>
      <c r="Y274" s="5"/>
      <c r="Z274" s="5" t="s">
        <v>2540</v>
      </c>
      <c r="AA274" s="20" t="s">
        <v>2540</v>
      </c>
    </row>
    <row r="275" spans="1:27" ht="12.75">
      <c r="A275" s="3" t="s">
        <v>1699</v>
      </c>
      <c r="B275" s="3" t="s">
        <v>2029</v>
      </c>
      <c r="C275" s="3" t="s">
        <v>2030</v>
      </c>
      <c r="D275" s="3" t="s">
        <v>2095</v>
      </c>
      <c r="E275" s="3" t="s">
        <v>1589</v>
      </c>
      <c r="F275" s="3" t="s">
        <v>2097</v>
      </c>
      <c r="G275" s="3" t="s">
        <v>1591</v>
      </c>
      <c r="H275" s="3" t="s">
        <v>1592</v>
      </c>
      <c r="I275" s="3" t="s">
        <v>2096</v>
      </c>
      <c r="J275" s="4">
        <v>0</v>
      </c>
      <c r="K275" s="4">
        <v>7.251</v>
      </c>
      <c r="L275" s="4">
        <v>9.667</v>
      </c>
      <c r="M275" s="4">
        <v>2.724</v>
      </c>
      <c r="N275" s="5">
        <v>720005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f t="shared" si="37"/>
        <v>720005</v>
      </c>
      <c r="U275" s="5">
        <f>SUM(S275:S275)</f>
        <v>0</v>
      </c>
      <c r="V275" s="5">
        <v>0</v>
      </c>
      <c r="W275" s="5">
        <v>0</v>
      </c>
      <c r="X275" s="5">
        <v>0</v>
      </c>
      <c r="Y275" s="5">
        <v>720005</v>
      </c>
      <c r="Z275" s="5">
        <f t="shared" si="38"/>
        <v>720005</v>
      </c>
      <c r="AA275" s="20">
        <f t="shared" si="39"/>
        <v>0</v>
      </c>
    </row>
    <row r="276" spans="1:27" ht="12.75">
      <c r="A276" s="3" t="s">
        <v>1699</v>
      </c>
      <c r="B276" s="3" t="s">
        <v>2029</v>
      </c>
      <c r="C276" s="3" t="s">
        <v>2030</v>
      </c>
      <c r="D276" s="3" t="s">
        <v>2098</v>
      </c>
      <c r="E276" s="3" t="s">
        <v>1589</v>
      </c>
      <c r="F276" s="3" t="s">
        <v>2099</v>
      </c>
      <c r="G276" s="3" t="s">
        <v>1591</v>
      </c>
      <c r="H276" s="3" t="s">
        <v>1592</v>
      </c>
      <c r="I276" s="3" t="s">
        <v>2096</v>
      </c>
      <c r="J276" s="4">
        <v>0</v>
      </c>
      <c r="K276" s="4">
        <v>0</v>
      </c>
      <c r="L276" s="4">
        <v>0</v>
      </c>
      <c r="M276" s="4">
        <v>0</v>
      </c>
      <c r="N276" s="5">
        <v>0</v>
      </c>
      <c r="O276" s="5">
        <v>0</v>
      </c>
      <c r="P276" s="5">
        <v>0</v>
      </c>
      <c r="Q276" s="5">
        <v>26001</v>
      </c>
      <c r="R276" s="5">
        <v>0</v>
      </c>
      <c r="S276" s="5">
        <v>0</v>
      </c>
      <c r="T276" s="5">
        <f t="shared" si="37"/>
        <v>26001</v>
      </c>
      <c r="U276" s="5">
        <v>98701</v>
      </c>
      <c r="V276" s="5">
        <v>0</v>
      </c>
      <c r="W276" s="5">
        <v>0</v>
      </c>
      <c r="X276" s="5">
        <v>0</v>
      </c>
      <c r="Y276" s="5">
        <v>124702</v>
      </c>
      <c r="Z276" s="5">
        <f t="shared" si="38"/>
        <v>124702</v>
      </c>
      <c r="AA276" s="20">
        <f t="shared" si="39"/>
        <v>0</v>
      </c>
    </row>
    <row r="277" spans="1:27" ht="12.75">
      <c r="A277" s="3" t="s">
        <v>1699</v>
      </c>
      <c r="B277" s="3" t="s">
        <v>2029</v>
      </c>
      <c r="C277" s="3" t="s">
        <v>2030</v>
      </c>
      <c r="D277" s="3" t="s">
        <v>2178</v>
      </c>
      <c r="E277" s="3" t="s">
        <v>2130</v>
      </c>
      <c r="F277" s="3" t="s">
        <v>2180</v>
      </c>
      <c r="G277" s="3" t="s">
        <v>2181</v>
      </c>
      <c r="H277" s="3" t="s">
        <v>1592</v>
      </c>
      <c r="I277" s="3" t="s">
        <v>2362</v>
      </c>
      <c r="J277" s="4">
        <v>0</v>
      </c>
      <c r="K277" s="4">
        <v>0</v>
      </c>
      <c r="L277" s="4">
        <v>0</v>
      </c>
      <c r="M277" s="4">
        <v>0.25</v>
      </c>
      <c r="N277" s="5">
        <v>7386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f t="shared" si="37"/>
        <v>7386</v>
      </c>
      <c r="U277" s="5">
        <f>SUM(S277:S277)</f>
        <v>0</v>
      </c>
      <c r="V277" s="5">
        <v>0</v>
      </c>
      <c r="W277" s="5">
        <v>0</v>
      </c>
      <c r="X277" s="5">
        <v>0</v>
      </c>
      <c r="Y277" s="5">
        <v>7386</v>
      </c>
      <c r="Z277" s="5">
        <f t="shared" si="38"/>
        <v>7386</v>
      </c>
      <c r="AA277" s="20">
        <f t="shared" si="39"/>
        <v>0</v>
      </c>
    </row>
    <row r="278" spans="1:27" ht="12.75">
      <c r="A278" s="3" t="s">
        <v>1699</v>
      </c>
      <c r="B278" s="3" t="s">
        <v>2029</v>
      </c>
      <c r="C278" s="3" t="s">
        <v>2030</v>
      </c>
      <c r="D278" s="3" t="s">
        <v>2182</v>
      </c>
      <c r="E278" s="3" t="s">
        <v>2130</v>
      </c>
      <c r="F278" s="3" t="s">
        <v>2184</v>
      </c>
      <c r="G278" s="3" t="s">
        <v>2185</v>
      </c>
      <c r="H278" s="3" t="s">
        <v>1592</v>
      </c>
      <c r="I278" s="3" t="s">
        <v>2362</v>
      </c>
      <c r="J278" s="4">
        <v>0</v>
      </c>
      <c r="K278" s="4">
        <v>0</v>
      </c>
      <c r="L278" s="4">
        <v>0</v>
      </c>
      <c r="M278" s="4">
        <v>0</v>
      </c>
      <c r="N278" s="5">
        <v>0</v>
      </c>
      <c r="O278" s="5">
        <v>0</v>
      </c>
      <c r="P278" s="5">
        <v>0</v>
      </c>
      <c r="Q278" s="5">
        <v>2040</v>
      </c>
      <c r="R278" s="5">
        <v>0</v>
      </c>
      <c r="S278" s="5">
        <v>0</v>
      </c>
      <c r="T278" s="5">
        <f t="shared" si="37"/>
        <v>2040</v>
      </c>
      <c r="U278" s="5">
        <v>8659</v>
      </c>
      <c r="V278" s="5">
        <v>0</v>
      </c>
      <c r="W278" s="5">
        <v>0</v>
      </c>
      <c r="X278" s="5">
        <v>0</v>
      </c>
      <c r="Y278" s="5">
        <v>10699</v>
      </c>
      <c r="Z278" s="5">
        <f t="shared" si="38"/>
        <v>10699</v>
      </c>
      <c r="AA278" s="20">
        <f t="shared" si="39"/>
        <v>0</v>
      </c>
    </row>
    <row r="279" spans="1:27" ht="12.75">
      <c r="A279" s="3" t="s">
        <v>1699</v>
      </c>
      <c r="B279" s="3" t="s">
        <v>2029</v>
      </c>
      <c r="C279" s="3" t="s">
        <v>2030</v>
      </c>
      <c r="D279" s="3" t="s">
        <v>2236</v>
      </c>
      <c r="E279" s="3" t="s">
        <v>2222</v>
      </c>
      <c r="F279" s="3" t="s">
        <v>2238</v>
      </c>
      <c r="G279" s="3" t="s">
        <v>2239</v>
      </c>
      <c r="H279" s="3" t="s">
        <v>1592</v>
      </c>
      <c r="I279" s="3" t="s">
        <v>2363</v>
      </c>
      <c r="J279" s="4">
        <v>0</v>
      </c>
      <c r="K279" s="4">
        <v>0</v>
      </c>
      <c r="L279" s="4">
        <v>0.5</v>
      </c>
      <c r="M279" s="4">
        <v>0.75</v>
      </c>
      <c r="N279" s="5">
        <v>34470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f t="shared" si="37"/>
        <v>34470</v>
      </c>
      <c r="U279" s="5">
        <f>SUM(S279:S279)</f>
        <v>0</v>
      </c>
      <c r="V279" s="5">
        <v>0</v>
      </c>
      <c r="W279" s="5">
        <v>0</v>
      </c>
      <c r="X279" s="5">
        <v>0</v>
      </c>
      <c r="Y279" s="5">
        <v>34470</v>
      </c>
      <c r="Z279" s="5">
        <f t="shared" si="38"/>
        <v>34470</v>
      </c>
      <c r="AA279" s="20">
        <f t="shared" si="39"/>
        <v>0</v>
      </c>
    </row>
    <row r="280" spans="1:27" ht="12.75">
      <c r="A280" s="3" t="s">
        <v>1699</v>
      </c>
      <c r="B280" s="3" t="s">
        <v>2029</v>
      </c>
      <c r="C280" s="3" t="s">
        <v>2030</v>
      </c>
      <c r="D280" s="3" t="s">
        <v>2240</v>
      </c>
      <c r="E280" s="3" t="s">
        <v>2222</v>
      </c>
      <c r="F280" s="3" t="s">
        <v>2242</v>
      </c>
      <c r="G280" s="3" t="s">
        <v>2243</v>
      </c>
      <c r="H280" s="3" t="s">
        <v>1592</v>
      </c>
      <c r="I280" s="3" t="s">
        <v>2363</v>
      </c>
      <c r="J280" s="4">
        <v>0</v>
      </c>
      <c r="K280" s="4">
        <v>0</v>
      </c>
      <c r="L280" s="4">
        <v>0</v>
      </c>
      <c r="M280" s="4">
        <v>0</v>
      </c>
      <c r="N280" s="5">
        <v>0</v>
      </c>
      <c r="O280" s="5">
        <v>0</v>
      </c>
      <c r="P280" s="5">
        <v>0</v>
      </c>
      <c r="Q280" s="5">
        <v>15294</v>
      </c>
      <c r="R280" s="5">
        <v>0</v>
      </c>
      <c r="S280" s="5">
        <v>0</v>
      </c>
      <c r="T280" s="5">
        <f t="shared" si="37"/>
        <v>15294</v>
      </c>
      <c r="U280" s="5">
        <v>20508</v>
      </c>
      <c r="V280" s="5">
        <v>0</v>
      </c>
      <c r="W280" s="5">
        <v>0</v>
      </c>
      <c r="X280" s="5">
        <v>0</v>
      </c>
      <c r="Y280" s="5">
        <v>35802</v>
      </c>
      <c r="Z280" s="5">
        <f t="shared" si="38"/>
        <v>35802</v>
      </c>
      <c r="AA280" s="20">
        <f t="shared" si="39"/>
        <v>0</v>
      </c>
    </row>
    <row r="281" spans="1:27" ht="12.75">
      <c r="A281" s="3" t="s">
        <v>1699</v>
      </c>
      <c r="B281" s="3" t="s">
        <v>2029</v>
      </c>
      <c r="C281" s="3" t="s">
        <v>2030</v>
      </c>
      <c r="D281" s="3" t="s">
        <v>2289</v>
      </c>
      <c r="E281" s="3" t="s">
        <v>2278</v>
      </c>
      <c r="F281" s="3" t="s">
        <v>2291</v>
      </c>
      <c r="G281" s="3" t="s">
        <v>2292</v>
      </c>
      <c r="H281" s="3" t="s">
        <v>1592</v>
      </c>
      <c r="I281" s="3" t="s">
        <v>2371</v>
      </c>
      <c r="J281" s="4">
        <v>0</v>
      </c>
      <c r="K281" s="4">
        <v>0</v>
      </c>
      <c r="L281" s="4">
        <v>0</v>
      </c>
      <c r="M281" s="4">
        <v>0</v>
      </c>
      <c r="N281" s="5">
        <v>0</v>
      </c>
      <c r="O281" s="5">
        <v>0</v>
      </c>
      <c r="P281" s="5">
        <v>0</v>
      </c>
      <c r="Q281" s="5">
        <v>1020</v>
      </c>
      <c r="R281" s="5">
        <v>0</v>
      </c>
      <c r="S281" s="5">
        <v>0</v>
      </c>
      <c r="T281" s="5">
        <f t="shared" si="37"/>
        <v>1020</v>
      </c>
      <c r="U281" s="5">
        <v>28138</v>
      </c>
      <c r="V281" s="5">
        <v>0</v>
      </c>
      <c r="W281" s="5">
        <v>0</v>
      </c>
      <c r="X281" s="5">
        <v>0</v>
      </c>
      <c r="Y281" s="5">
        <v>29158</v>
      </c>
      <c r="Z281" s="5">
        <f t="shared" si="38"/>
        <v>29158</v>
      </c>
      <c r="AA281" s="20">
        <f t="shared" si="39"/>
        <v>0</v>
      </c>
    </row>
    <row r="282" spans="1:27" ht="13.5" thickBot="1">
      <c r="A282" s="3" t="s">
        <v>1699</v>
      </c>
      <c r="B282" s="3" t="s">
        <v>2029</v>
      </c>
      <c r="C282" s="3" t="s">
        <v>2030</v>
      </c>
      <c r="D282" s="3" t="s">
        <v>2318</v>
      </c>
      <c r="E282" s="3" t="s">
        <v>2307</v>
      </c>
      <c r="F282" s="3" t="s">
        <v>2320</v>
      </c>
      <c r="G282" s="3" t="s">
        <v>2321</v>
      </c>
      <c r="H282" s="3" t="s">
        <v>1592</v>
      </c>
      <c r="I282" s="3" t="s">
        <v>2372</v>
      </c>
      <c r="J282" s="6">
        <v>0</v>
      </c>
      <c r="K282" s="6">
        <v>0</v>
      </c>
      <c r="L282" s="6">
        <v>0</v>
      </c>
      <c r="M282" s="6">
        <v>0</v>
      </c>
      <c r="N282" s="7">
        <v>0</v>
      </c>
      <c r="O282" s="7">
        <v>0</v>
      </c>
      <c r="P282" s="7">
        <v>0</v>
      </c>
      <c r="Q282" s="7">
        <v>7647</v>
      </c>
      <c r="R282" s="7">
        <v>0</v>
      </c>
      <c r="S282" s="7">
        <v>0</v>
      </c>
      <c r="T282" s="7">
        <f t="shared" si="37"/>
        <v>7647</v>
      </c>
      <c r="U282" s="7">
        <v>63087</v>
      </c>
      <c r="V282" s="7">
        <v>0</v>
      </c>
      <c r="W282" s="7">
        <v>0</v>
      </c>
      <c r="X282" s="7">
        <v>0</v>
      </c>
      <c r="Y282" s="7">
        <v>70734</v>
      </c>
      <c r="Z282" s="7">
        <f t="shared" si="38"/>
        <v>70734</v>
      </c>
      <c r="AA282" s="20">
        <f t="shared" si="39"/>
        <v>0</v>
      </c>
    </row>
    <row r="283" spans="9:27" ht="12.75">
      <c r="I283" s="3" t="s">
        <v>161</v>
      </c>
      <c r="J283" s="4">
        <f aca="true" t="shared" si="41" ref="J283:Y283">SUM(J275:J282)</f>
        <v>0</v>
      </c>
      <c r="K283" s="4">
        <f t="shared" si="41"/>
        <v>7.251</v>
      </c>
      <c r="L283" s="4">
        <f t="shared" si="41"/>
        <v>10.167</v>
      </c>
      <c r="M283" s="4">
        <f t="shared" si="41"/>
        <v>3.724</v>
      </c>
      <c r="N283" s="5">
        <f t="shared" si="41"/>
        <v>761861</v>
      </c>
      <c r="O283" s="5">
        <f t="shared" si="41"/>
        <v>0</v>
      </c>
      <c r="P283" s="5">
        <f t="shared" si="41"/>
        <v>0</v>
      </c>
      <c r="Q283" s="5">
        <f t="shared" si="41"/>
        <v>52002</v>
      </c>
      <c r="R283" s="5">
        <f t="shared" si="41"/>
        <v>0</v>
      </c>
      <c r="S283" s="5">
        <f t="shared" si="41"/>
        <v>0</v>
      </c>
      <c r="T283" s="5">
        <f t="shared" si="41"/>
        <v>813863</v>
      </c>
      <c r="U283" s="5">
        <f t="shared" si="41"/>
        <v>219093</v>
      </c>
      <c r="V283" s="5">
        <f t="shared" si="41"/>
        <v>0</v>
      </c>
      <c r="W283" s="5">
        <f t="shared" si="41"/>
        <v>0</v>
      </c>
      <c r="X283" s="5">
        <f t="shared" si="41"/>
        <v>0</v>
      </c>
      <c r="Y283" s="5">
        <f t="shared" si="41"/>
        <v>1032956</v>
      </c>
      <c r="Z283" s="5">
        <f t="shared" si="38"/>
        <v>1032956</v>
      </c>
      <c r="AA283" s="20">
        <f t="shared" si="39"/>
        <v>0</v>
      </c>
    </row>
    <row r="284" spans="10:27" ht="12.75">
      <c r="J284" s="4"/>
      <c r="K284" s="4"/>
      <c r="L284" s="4"/>
      <c r="M284" s="4"/>
      <c r="N284" s="5"/>
      <c r="O284" s="5"/>
      <c r="P284" s="5"/>
      <c r="Q284" s="5"/>
      <c r="R284" s="5"/>
      <c r="S284" s="5"/>
      <c r="T284" s="5" t="s">
        <v>2540</v>
      </c>
      <c r="U284" s="5"/>
      <c r="V284" s="5"/>
      <c r="W284" s="5"/>
      <c r="X284" s="5"/>
      <c r="Y284" s="5"/>
      <c r="Z284" s="5" t="s">
        <v>2540</v>
      </c>
      <c r="AA284" s="20" t="s">
        <v>2540</v>
      </c>
    </row>
    <row r="285" spans="1:27" ht="12.75">
      <c r="A285" s="3" t="s">
        <v>1699</v>
      </c>
      <c r="B285" s="3" t="s">
        <v>2029</v>
      </c>
      <c r="C285" s="3" t="s">
        <v>2030</v>
      </c>
      <c r="D285" s="3" t="s">
        <v>2100</v>
      </c>
      <c r="E285" s="3" t="s">
        <v>1589</v>
      </c>
      <c r="F285" s="3" t="s">
        <v>2102</v>
      </c>
      <c r="G285" s="3" t="s">
        <v>1591</v>
      </c>
      <c r="H285" s="3" t="s">
        <v>1592</v>
      </c>
      <c r="I285" s="3" t="s">
        <v>2101</v>
      </c>
      <c r="J285" s="4">
        <v>0</v>
      </c>
      <c r="K285" s="4">
        <v>8.171</v>
      </c>
      <c r="L285" s="4">
        <v>4.666</v>
      </c>
      <c r="M285" s="4">
        <v>1.037</v>
      </c>
      <c r="N285" s="5">
        <v>656020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f t="shared" si="37"/>
        <v>656020</v>
      </c>
      <c r="U285" s="5">
        <f>SUM(S285:S285)</f>
        <v>0</v>
      </c>
      <c r="V285" s="5">
        <v>0</v>
      </c>
      <c r="W285" s="5">
        <v>0</v>
      </c>
      <c r="X285" s="5">
        <v>0</v>
      </c>
      <c r="Y285" s="5">
        <v>656020</v>
      </c>
      <c r="Z285" s="5">
        <f t="shared" si="38"/>
        <v>656020</v>
      </c>
      <c r="AA285" s="20">
        <f t="shared" si="39"/>
        <v>0</v>
      </c>
    </row>
    <row r="286" spans="1:27" ht="12.75">
      <c r="A286" s="3" t="s">
        <v>1699</v>
      </c>
      <c r="B286" s="3" t="s">
        <v>2029</v>
      </c>
      <c r="C286" s="3" t="s">
        <v>2030</v>
      </c>
      <c r="D286" s="3" t="s">
        <v>2103</v>
      </c>
      <c r="E286" s="3" t="s">
        <v>1589</v>
      </c>
      <c r="F286" s="3" t="s">
        <v>2104</v>
      </c>
      <c r="G286" s="3" t="s">
        <v>1591</v>
      </c>
      <c r="H286" s="3" t="s">
        <v>1592</v>
      </c>
      <c r="I286" s="3" t="s">
        <v>2101</v>
      </c>
      <c r="J286" s="4">
        <v>0</v>
      </c>
      <c r="K286" s="4">
        <v>0</v>
      </c>
      <c r="L286" s="4">
        <v>0</v>
      </c>
      <c r="M286" s="4">
        <v>0.417</v>
      </c>
      <c r="N286" s="5">
        <v>11340</v>
      </c>
      <c r="O286" s="5">
        <v>0</v>
      </c>
      <c r="P286" s="5">
        <v>0</v>
      </c>
      <c r="Q286" s="5">
        <v>39002</v>
      </c>
      <c r="R286" s="5">
        <v>0</v>
      </c>
      <c r="S286" s="5">
        <v>0</v>
      </c>
      <c r="T286" s="5">
        <f t="shared" si="37"/>
        <v>50342</v>
      </c>
      <c r="U286" s="5">
        <v>34660</v>
      </c>
      <c r="V286" s="5">
        <v>0</v>
      </c>
      <c r="W286" s="5">
        <v>0</v>
      </c>
      <c r="X286" s="5">
        <v>0</v>
      </c>
      <c r="Y286" s="5">
        <v>85002</v>
      </c>
      <c r="Z286" s="5">
        <f t="shared" si="38"/>
        <v>85002</v>
      </c>
      <c r="AA286" s="20">
        <f t="shared" si="39"/>
        <v>0</v>
      </c>
    </row>
    <row r="287" spans="1:27" ht="12.75">
      <c r="A287" s="3" t="s">
        <v>1699</v>
      </c>
      <c r="B287" s="3" t="s">
        <v>2029</v>
      </c>
      <c r="C287" s="3" t="s">
        <v>2030</v>
      </c>
      <c r="D287" s="3" t="s">
        <v>2186</v>
      </c>
      <c r="E287" s="3" t="s">
        <v>2130</v>
      </c>
      <c r="F287" s="3" t="s">
        <v>2188</v>
      </c>
      <c r="G287" s="3" t="s">
        <v>2189</v>
      </c>
      <c r="H287" s="3" t="s">
        <v>1592</v>
      </c>
      <c r="I287" s="3" t="s">
        <v>2369</v>
      </c>
      <c r="J287" s="4">
        <v>0</v>
      </c>
      <c r="K287" s="4">
        <v>0.167</v>
      </c>
      <c r="L287" s="4">
        <v>0.083</v>
      </c>
      <c r="M287" s="4">
        <v>0</v>
      </c>
      <c r="N287" s="5">
        <v>11846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f t="shared" si="37"/>
        <v>11846</v>
      </c>
      <c r="U287" s="5">
        <f>SUM(S287:S287)</f>
        <v>0</v>
      </c>
      <c r="V287" s="5">
        <v>0</v>
      </c>
      <c r="W287" s="5">
        <v>0</v>
      </c>
      <c r="X287" s="5">
        <v>0</v>
      </c>
      <c r="Y287" s="5">
        <v>11846</v>
      </c>
      <c r="Z287" s="5">
        <f t="shared" si="38"/>
        <v>11846</v>
      </c>
      <c r="AA287" s="20">
        <f t="shared" si="39"/>
        <v>0</v>
      </c>
    </row>
    <row r="288" spans="1:27" ht="12.75">
      <c r="A288" s="3" t="s">
        <v>1699</v>
      </c>
      <c r="B288" s="3" t="s">
        <v>2029</v>
      </c>
      <c r="C288" s="3" t="s">
        <v>2030</v>
      </c>
      <c r="D288" s="3" t="s">
        <v>2190</v>
      </c>
      <c r="E288" s="3" t="s">
        <v>2130</v>
      </c>
      <c r="F288" s="3" t="s">
        <v>2191</v>
      </c>
      <c r="G288" s="3" t="s">
        <v>2192</v>
      </c>
      <c r="H288" s="3" t="s">
        <v>1592</v>
      </c>
      <c r="I288" s="3" t="s">
        <v>2369</v>
      </c>
      <c r="J288" s="4">
        <v>0</v>
      </c>
      <c r="K288" s="4">
        <v>0</v>
      </c>
      <c r="L288" s="4">
        <v>0</v>
      </c>
      <c r="M288" s="4">
        <v>0</v>
      </c>
      <c r="N288" s="5">
        <v>0</v>
      </c>
      <c r="O288" s="5">
        <v>0</v>
      </c>
      <c r="P288" s="5">
        <v>0</v>
      </c>
      <c r="Q288" s="5">
        <v>2040</v>
      </c>
      <c r="R288" s="5">
        <v>0</v>
      </c>
      <c r="S288" s="5">
        <v>0</v>
      </c>
      <c r="T288" s="5">
        <f t="shared" si="37"/>
        <v>2040</v>
      </c>
      <c r="U288" s="5">
        <v>5000</v>
      </c>
      <c r="V288" s="5">
        <v>0</v>
      </c>
      <c r="W288" s="5">
        <v>0</v>
      </c>
      <c r="X288" s="5">
        <v>0</v>
      </c>
      <c r="Y288" s="5">
        <v>7040</v>
      </c>
      <c r="Z288" s="5">
        <f t="shared" si="38"/>
        <v>7040</v>
      </c>
      <c r="AA288" s="20">
        <f t="shared" si="39"/>
        <v>0</v>
      </c>
    </row>
    <row r="289" spans="1:27" ht="12.75">
      <c r="A289" s="3" t="s">
        <v>1699</v>
      </c>
      <c r="B289" s="3" t="s">
        <v>2029</v>
      </c>
      <c r="C289" s="3" t="s">
        <v>2030</v>
      </c>
      <c r="D289" s="3" t="s">
        <v>2244</v>
      </c>
      <c r="E289" s="3" t="s">
        <v>2222</v>
      </c>
      <c r="F289" s="3" t="s">
        <v>2246</v>
      </c>
      <c r="G289" s="3" t="s">
        <v>2247</v>
      </c>
      <c r="H289" s="3" t="s">
        <v>1592</v>
      </c>
      <c r="I289" s="3" t="s">
        <v>2370</v>
      </c>
      <c r="J289" s="4">
        <v>0</v>
      </c>
      <c r="K289" s="4">
        <v>1</v>
      </c>
      <c r="L289" s="4">
        <v>1.333</v>
      </c>
      <c r="M289" s="4">
        <v>0</v>
      </c>
      <c r="N289" s="5">
        <v>96275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f t="shared" si="37"/>
        <v>96275</v>
      </c>
      <c r="U289" s="5">
        <f>SUM(S289:S289)</f>
        <v>0</v>
      </c>
      <c r="V289" s="5">
        <v>0</v>
      </c>
      <c r="W289" s="5">
        <v>0</v>
      </c>
      <c r="X289" s="5">
        <v>0</v>
      </c>
      <c r="Y289" s="5">
        <v>96275</v>
      </c>
      <c r="Z289" s="5">
        <f t="shared" si="38"/>
        <v>96275</v>
      </c>
      <c r="AA289" s="20">
        <f t="shared" si="39"/>
        <v>0</v>
      </c>
    </row>
    <row r="290" spans="1:27" ht="13.5" thickBot="1">
      <c r="A290" s="3" t="s">
        <v>1699</v>
      </c>
      <c r="B290" s="3" t="s">
        <v>2029</v>
      </c>
      <c r="C290" s="3" t="s">
        <v>2030</v>
      </c>
      <c r="D290" s="3" t="s">
        <v>2248</v>
      </c>
      <c r="E290" s="3" t="s">
        <v>2222</v>
      </c>
      <c r="F290" s="3" t="s">
        <v>2250</v>
      </c>
      <c r="G290" s="3" t="s">
        <v>2251</v>
      </c>
      <c r="H290" s="3" t="s">
        <v>1592</v>
      </c>
      <c r="I290" s="3" t="s">
        <v>2370</v>
      </c>
      <c r="J290" s="6">
        <v>0</v>
      </c>
      <c r="K290" s="6">
        <v>0</v>
      </c>
      <c r="L290" s="6">
        <v>0</v>
      </c>
      <c r="M290" s="6">
        <v>0.546</v>
      </c>
      <c r="N290" s="7">
        <v>14868</v>
      </c>
      <c r="O290" s="7">
        <v>0</v>
      </c>
      <c r="P290" s="7">
        <v>0</v>
      </c>
      <c r="Q290" s="7">
        <v>15294</v>
      </c>
      <c r="R290" s="7">
        <v>0</v>
      </c>
      <c r="S290" s="7">
        <v>0</v>
      </c>
      <c r="T290" s="7">
        <f t="shared" si="37"/>
        <v>30162</v>
      </c>
      <c r="U290" s="7">
        <v>28000</v>
      </c>
      <c r="V290" s="7">
        <v>0</v>
      </c>
      <c r="W290" s="7">
        <v>0</v>
      </c>
      <c r="X290" s="7">
        <v>0</v>
      </c>
      <c r="Y290" s="7">
        <v>58162</v>
      </c>
      <c r="Z290" s="7">
        <f t="shared" si="38"/>
        <v>58162</v>
      </c>
      <c r="AA290" s="20">
        <f t="shared" si="39"/>
        <v>0</v>
      </c>
    </row>
    <row r="291" spans="9:27" ht="12.75">
      <c r="I291" s="3" t="s">
        <v>162</v>
      </c>
      <c r="J291" s="4">
        <f aca="true" t="shared" si="42" ref="J291:Z291">SUM(J285:J290)</f>
        <v>0</v>
      </c>
      <c r="K291" s="4">
        <f t="shared" si="42"/>
        <v>9.338</v>
      </c>
      <c r="L291" s="4">
        <f t="shared" si="42"/>
        <v>6.082000000000001</v>
      </c>
      <c r="M291" s="4">
        <f t="shared" si="42"/>
        <v>2</v>
      </c>
      <c r="N291" s="5">
        <f t="shared" si="42"/>
        <v>790349</v>
      </c>
      <c r="O291" s="5">
        <f t="shared" si="42"/>
        <v>0</v>
      </c>
      <c r="P291" s="5">
        <f t="shared" si="42"/>
        <v>0</v>
      </c>
      <c r="Q291" s="5">
        <f t="shared" si="42"/>
        <v>56336</v>
      </c>
      <c r="R291" s="5">
        <f t="shared" si="42"/>
        <v>0</v>
      </c>
      <c r="S291" s="5">
        <f t="shared" si="42"/>
        <v>0</v>
      </c>
      <c r="T291" s="5">
        <f t="shared" si="42"/>
        <v>846685</v>
      </c>
      <c r="U291" s="5">
        <f>SUM(U285:U290)</f>
        <v>67660</v>
      </c>
      <c r="V291" s="5">
        <f>SUM(V285:V290)</f>
        <v>0</v>
      </c>
      <c r="W291" s="5">
        <f>SUM(W285:W290)</f>
        <v>0</v>
      </c>
      <c r="X291" s="5">
        <f>SUM(X285:X290)</f>
        <v>0</v>
      </c>
      <c r="Y291" s="5">
        <f t="shared" si="42"/>
        <v>914345</v>
      </c>
      <c r="Z291" s="5">
        <f t="shared" si="42"/>
        <v>914345</v>
      </c>
      <c r="AA291" s="20">
        <f t="shared" si="39"/>
        <v>0</v>
      </c>
    </row>
    <row r="292" spans="10:27" ht="12.75">
      <c r="J292" s="4"/>
      <c r="K292" s="4"/>
      <c r="L292" s="4"/>
      <c r="M292" s="4"/>
      <c r="N292" s="5"/>
      <c r="O292" s="5"/>
      <c r="P292" s="5"/>
      <c r="Q292" s="5"/>
      <c r="R292" s="5"/>
      <c r="S292" s="5"/>
      <c r="T292" s="5" t="s">
        <v>2540</v>
      </c>
      <c r="U292" s="5"/>
      <c r="V292" s="5"/>
      <c r="W292" s="5"/>
      <c r="X292" s="5"/>
      <c r="Y292" s="5"/>
      <c r="Z292" s="5" t="s">
        <v>2540</v>
      </c>
      <c r="AA292" s="20" t="s">
        <v>2540</v>
      </c>
    </row>
    <row r="293" spans="1:27" ht="12.75">
      <c r="A293" s="3" t="s">
        <v>1699</v>
      </c>
      <c r="B293" s="3" t="s">
        <v>2029</v>
      </c>
      <c r="C293" s="3" t="s">
        <v>2030</v>
      </c>
      <c r="D293" s="3" t="s">
        <v>2105</v>
      </c>
      <c r="E293" s="3" t="s">
        <v>1589</v>
      </c>
      <c r="F293" s="3" t="s">
        <v>2107</v>
      </c>
      <c r="G293" s="3" t="s">
        <v>1591</v>
      </c>
      <c r="H293" s="3" t="s">
        <v>1592</v>
      </c>
      <c r="I293" s="3" t="s">
        <v>2106</v>
      </c>
      <c r="J293" s="4">
        <v>0</v>
      </c>
      <c r="K293" s="4">
        <v>3.667</v>
      </c>
      <c r="L293" s="4">
        <v>0.916</v>
      </c>
      <c r="M293" s="4">
        <v>0</v>
      </c>
      <c r="N293" s="5">
        <v>190038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f t="shared" si="37"/>
        <v>190038</v>
      </c>
      <c r="U293" s="5">
        <f>SUM(S293:S293)</f>
        <v>0</v>
      </c>
      <c r="V293" s="5">
        <v>0</v>
      </c>
      <c r="W293" s="5">
        <v>0</v>
      </c>
      <c r="X293" s="5">
        <v>0</v>
      </c>
      <c r="Y293" s="5">
        <v>190038</v>
      </c>
      <c r="Z293" s="5">
        <f t="shared" si="38"/>
        <v>190038</v>
      </c>
      <c r="AA293" s="20">
        <f t="shared" si="39"/>
        <v>0</v>
      </c>
    </row>
    <row r="294" spans="1:27" ht="12.75">
      <c r="A294" s="3" t="s">
        <v>1699</v>
      </c>
      <c r="B294" s="3" t="s">
        <v>2029</v>
      </c>
      <c r="C294" s="3" t="s">
        <v>2030</v>
      </c>
      <c r="D294" s="3" t="s">
        <v>2108</v>
      </c>
      <c r="E294" s="3" t="s">
        <v>1589</v>
      </c>
      <c r="F294" s="3" t="s">
        <v>2109</v>
      </c>
      <c r="G294" s="3" t="s">
        <v>1591</v>
      </c>
      <c r="H294" s="3" t="s">
        <v>1592</v>
      </c>
      <c r="I294" s="3" t="s">
        <v>2106</v>
      </c>
      <c r="J294" s="4">
        <v>0</v>
      </c>
      <c r="K294" s="4">
        <v>0</v>
      </c>
      <c r="L294" s="4">
        <v>0</v>
      </c>
      <c r="M294" s="4">
        <v>0</v>
      </c>
      <c r="N294" s="5">
        <v>0</v>
      </c>
      <c r="O294" s="5">
        <v>0</v>
      </c>
      <c r="P294" s="5">
        <v>0</v>
      </c>
      <c r="Q294" s="5">
        <v>8667</v>
      </c>
      <c r="R294" s="5">
        <v>0</v>
      </c>
      <c r="S294" s="5">
        <v>0</v>
      </c>
      <c r="T294" s="5">
        <f t="shared" si="37"/>
        <v>8667</v>
      </c>
      <c r="U294" s="5">
        <v>23792</v>
      </c>
      <c r="V294" s="5">
        <v>0</v>
      </c>
      <c r="W294" s="5">
        <v>0</v>
      </c>
      <c r="X294" s="5">
        <v>0</v>
      </c>
      <c r="Y294" s="5">
        <v>32459</v>
      </c>
      <c r="Z294" s="5">
        <f t="shared" si="38"/>
        <v>32459</v>
      </c>
      <c r="AA294" s="20">
        <f t="shared" si="39"/>
        <v>0</v>
      </c>
    </row>
    <row r="295" spans="1:27" ht="12.75">
      <c r="A295" s="3" t="s">
        <v>1699</v>
      </c>
      <c r="B295" s="3" t="s">
        <v>2029</v>
      </c>
      <c r="C295" s="3" t="s">
        <v>2030</v>
      </c>
      <c r="D295" s="3" t="s">
        <v>2193</v>
      </c>
      <c r="E295" s="3" t="s">
        <v>2130</v>
      </c>
      <c r="F295" s="3" t="s">
        <v>2195</v>
      </c>
      <c r="G295" s="3" t="s">
        <v>2196</v>
      </c>
      <c r="H295" s="3" t="s">
        <v>1592</v>
      </c>
      <c r="I295" s="3" t="s">
        <v>2373</v>
      </c>
      <c r="J295" s="4">
        <v>0</v>
      </c>
      <c r="K295" s="4">
        <v>0</v>
      </c>
      <c r="L295" s="4">
        <v>0</v>
      </c>
      <c r="M295" s="4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f t="shared" si="37"/>
        <v>0</v>
      </c>
      <c r="U295" s="5">
        <v>522</v>
      </c>
      <c r="V295" s="5">
        <v>0</v>
      </c>
      <c r="W295" s="5">
        <v>0</v>
      </c>
      <c r="X295" s="5">
        <v>0</v>
      </c>
      <c r="Y295" s="5">
        <v>522</v>
      </c>
      <c r="Z295" s="5">
        <f t="shared" si="38"/>
        <v>522</v>
      </c>
      <c r="AA295" s="20">
        <f t="shared" si="39"/>
        <v>0</v>
      </c>
    </row>
    <row r="296" spans="1:27" ht="12.75">
      <c r="A296" s="3" t="s">
        <v>1699</v>
      </c>
      <c r="B296" s="3" t="s">
        <v>2029</v>
      </c>
      <c r="C296" s="3" t="s">
        <v>2030</v>
      </c>
      <c r="D296" s="3" t="s">
        <v>2252</v>
      </c>
      <c r="E296" s="3" t="s">
        <v>2222</v>
      </c>
      <c r="F296" s="3" t="s">
        <v>2254</v>
      </c>
      <c r="G296" s="3" t="s">
        <v>2255</v>
      </c>
      <c r="H296" s="3" t="s">
        <v>1592</v>
      </c>
      <c r="I296" s="3" t="s">
        <v>2374</v>
      </c>
      <c r="J296" s="4">
        <v>0</v>
      </c>
      <c r="K296" s="4">
        <v>0</v>
      </c>
      <c r="L296" s="4">
        <v>0</v>
      </c>
      <c r="M296" s="4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f t="shared" si="37"/>
        <v>0</v>
      </c>
      <c r="U296" s="5">
        <v>2000</v>
      </c>
      <c r="V296" s="5">
        <v>0</v>
      </c>
      <c r="W296" s="5">
        <v>0</v>
      </c>
      <c r="X296" s="5">
        <v>0</v>
      </c>
      <c r="Y296" s="5">
        <v>2000</v>
      </c>
      <c r="Z296" s="5">
        <f t="shared" si="38"/>
        <v>2000</v>
      </c>
      <c r="AA296" s="20">
        <f t="shared" si="39"/>
        <v>0</v>
      </c>
    </row>
    <row r="297" spans="1:27" ht="12.75">
      <c r="A297" s="3" t="s">
        <v>1699</v>
      </c>
      <c r="B297" s="3" t="s">
        <v>2029</v>
      </c>
      <c r="C297" s="3" t="s">
        <v>2030</v>
      </c>
      <c r="D297" s="3" t="s">
        <v>2293</v>
      </c>
      <c r="E297" s="3" t="s">
        <v>2278</v>
      </c>
      <c r="F297" s="3" t="s">
        <v>2295</v>
      </c>
      <c r="G297" s="3" t="s">
        <v>2296</v>
      </c>
      <c r="H297" s="3" t="s">
        <v>1592</v>
      </c>
      <c r="I297" s="3" t="s">
        <v>2375</v>
      </c>
      <c r="J297" s="4">
        <v>0</v>
      </c>
      <c r="K297" s="4">
        <v>0</v>
      </c>
      <c r="L297" s="4">
        <v>0</v>
      </c>
      <c r="M297" s="4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f t="shared" si="37"/>
        <v>0</v>
      </c>
      <c r="U297" s="5">
        <v>845</v>
      </c>
      <c r="V297" s="5">
        <v>0</v>
      </c>
      <c r="W297" s="5">
        <v>0</v>
      </c>
      <c r="X297" s="5">
        <v>0</v>
      </c>
      <c r="Y297" s="5">
        <v>845</v>
      </c>
      <c r="Z297" s="5">
        <f t="shared" si="38"/>
        <v>845</v>
      </c>
      <c r="AA297" s="20">
        <f t="shared" si="39"/>
        <v>0</v>
      </c>
    </row>
    <row r="298" spans="1:27" ht="12.75">
      <c r="A298" s="3" t="s">
        <v>1699</v>
      </c>
      <c r="B298" s="3" t="s">
        <v>2029</v>
      </c>
      <c r="C298" s="3" t="s">
        <v>2030</v>
      </c>
      <c r="D298" s="3" t="s">
        <v>2322</v>
      </c>
      <c r="E298" s="3" t="s">
        <v>2307</v>
      </c>
      <c r="F298" s="3" t="s">
        <v>2324</v>
      </c>
      <c r="G298" s="3" t="s">
        <v>2325</v>
      </c>
      <c r="H298" s="3" t="s">
        <v>1592</v>
      </c>
      <c r="I298" s="3" t="s">
        <v>2374</v>
      </c>
      <c r="J298" s="4">
        <v>0</v>
      </c>
      <c r="K298" s="4">
        <v>0.167</v>
      </c>
      <c r="L298" s="4">
        <v>0.083</v>
      </c>
      <c r="M298" s="4">
        <v>0</v>
      </c>
      <c r="N298" s="5">
        <v>12583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f t="shared" si="37"/>
        <v>12583</v>
      </c>
      <c r="U298" s="5">
        <f>SUM(S298:S298)</f>
        <v>0</v>
      </c>
      <c r="V298" s="5">
        <v>0</v>
      </c>
      <c r="W298" s="5">
        <v>0</v>
      </c>
      <c r="X298" s="5">
        <v>0</v>
      </c>
      <c r="Y298" s="5">
        <v>12583</v>
      </c>
      <c r="Z298" s="5">
        <f t="shared" si="38"/>
        <v>12583</v>
      </c>
      <c r="AA298" s="20">
        <f t="shared" si="39"/>
        <v>0</v>
      </c>
    </row>
    <row r="299" spans="1:27" ht="13.5" thickBot="1">
      <c r="A299" s="3" t="s">
        <v>1699</v>
      </c>
      <c r="B299" s="3" t="s">
        <v>2029</v>
      </c>
      <c r="C299" s="3" t="s">
        <v>2030</v>
      </c>
      <c r="D299" s="3" t="s">
        <v>2326</v>
      </c>
      <c r="E299" s="3" t="s">
        <v>2307</v>
      </c>
      <c r="F299" s="3" t="s">
        <v>2328</v>
      </c>
      <c r="G299" s="3" t="s">
        <v>2329</v>
      </c>
      <c r="H299" s="3" t="s">
        <v>1592</v>
      </c>
      <c r="I299" s="3" t="s">
        <v>2374</v>
      </c>
      <c r="J299" s="6">
        <v>0</v>
      </c>
      <c r="K299" s="6">
        <v>0</v>
      </c>
      <c r="L299" s="6">
        <v>0</v>
      </c>
      <c r="M299" s="6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f t="shared" si="37"/>
        <v>0</v>
      </c>
      <c r="U299" s="7">
        <v>3850</v>
      </c>
      <c r="V299" s="7">
        <v>0</v>
      </c>
      <c r="W299" s="7">
        <v>0</v>
      </c>
      <c r="X299" s="7">
        <v>0</v>
      </c>
      <c r="Y299" s="7">
        <v>3850</v>
      </c>
      <c r="Z299" s="7">
        <f t="shared" si="38"/>
        <v>3850</v>
      </c>
      <c r="AA299" s="20">
        <f t="shared" si="39"/>
        <v>0</v>
      </c>
    </row>
    <row r="300" spans="9:27" ht="12.75">
      <c r="I300" s="3" t="s">
        <v>2376</v>
      </c>
      <c r="J300" s="4">
        <f aca="true" t="shared" si="43" ref="J300:Y300">SUM(J293:J299)</f>
        <v>0</v>
      </c>
      <c r="K300" s="4">
        <f t="shared" si="43"/>
        <v>3.8339999999999996</v>
      </c>
      <c r="L300" s="4">
        <f t="shared" si="43"/>
        <v>0.999</v>
      </c>
      <c r="M300" s="4">
        <f t="shared" si="43"/>
        <v>0</v>
      </c>
      <c r="N300" s="5">
        <f t="shared" si="43"/>
        <v>202621</v>
      </c>
      <c r="O300" s="5">
        <f t="shared" si="43"/>
        <v>0</v>
      </c>
      <c r="P300" s="5">
        <f t="shared" si="43"/>
        <v>0</v>
      </c>
      <c r="Q300" s="5">
        <f t="shared" si="43"/>
        <v>8667</v>
      </c>
      <c r="R300" s="5">
        <f t="shared" si="43"/>
        <v>0</v>
      </c>
      <c r="S300" s="5">
        <f t="shared" si="43"/>
        <v>0</v>
      </c>
      <c r="T300" s="5">
        <f t="shared" si="43"/>
        <v>211288</v>
      </c>
      <c r="U300" s="5">
        <f t="shared" si="43"/>
        <v>31009</v>
      </c>
      <c r="V300" s="5">
        <f t="shared" si="43"/>
        <v>0</v>
      </c>
      <c r="W300" s="5">
        <f t="shared" si="43"/>
        <v>0</v>
      </c>
      <c r="X300" s="5">
        <f t="shared" si="43"/>
        <v>0</v>
      </c>
      <c r="Y300" s="5">
        <f t="shared" si="43"/>
        <v>242297</v>
      </c>
      <c r="Z300" s="5">
        <f t="shared" si="38"/>
        <v>242297</v>
      </c>
      <c r="AA300" s="20">
        <f t="shared" si="39"/>
        <v>0</v>
      </c>
    </row>
    <row r="301" spans="10:27" ht="12.75">
      <c r="J301" s="4"/>
      <c r="K301" s="4"/>
      <c r="L301" s="4"/>
      <c r="M301" s="4"/>
      <c r="N301" s="5"/>
      <c r="O301" s="5"/>
      <c r="P301" s="5"/>
      <c r="Q301" s="5"/>
      <c r="R301" s="5"/>
      <c r="S301" s="5"/>
      <c r="T301" s="5" t="s">
        <v>2540</v>
      </c>
      <c r="U301" s="5"/>
      <c r="V301" s="5"/>
      <c r="W301" s="5"/>
      <c r="X301" s="5"/>
      <c r="Y301" s="5"/>
      <c r="Z301" s="5" t="s">
        <v>2540</v>
      </c>
      <c r="AA301" s="20" t="s">
        <v>2540</v>
      </c>
    </row>
    <row r="302" spans="1:27" ht="12.75">
      <c r="A302" s="3" t="s">
        <v>1699</v>
      </c>
      <c r="B302" s="3" t="s">
        <v>2029</v>
      </c>
      <c r="C302" s="3" t="s">
        <v>2030</v>
      </c>
      <c r="D302" s="3" t="s">
        <v>2110</v>
      </c>
      <c r="E302" s="3" t="s">
        <v>1589</v>
      </c>
      <c r="F302" s="3" t="s">
        <v>2112</v>
      </c>
      <c r="G302" s="3" t="s">
        <v>1591</v>
      </c>
      <c r="H302" s="3" t="s">
        <v>1592</v>
      </c>
      <c r="I302" s="3" t="s">
        <v>2111</v>
      </c>
      <c r="J302" s="4">
        <v>0</v>
      </c>
      <c r="K302" s="4">
        <v>5.417</v>
      </c>
      <c r="L302" s="4">
        <v>9.545</v>
      </c>
      <c r="M302" s="4">
        <v>0</v>
      </c>
      <c r="N302" s="5">
        <v>632657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f t="shared" si="37"/>
        <v>632657</v>
      </c>
      <c r="U302" s="5">
        <f aca="true" t="shared" si="44" ref="U302:U307">SUM(S302:S302)</f>
        <v>0</v>
      </c>
      <c r="V302" s="5">
        <v>0</v>
      </c>
      <c r="W302" s="5">
        <v>0</v>
      </c>
      <c r="X302" s="5">
        <v>0</v>
      </c>
      <c r="Y302" s="5">
        <v>632657</v>
      </c>
      <c r="Z302" s="5">
        <f t="shared" si="38"/>
        <v>632657</v>
      </c>
      <c r="AA302" s="20">
        <f t="shared" si="39"/>
        <v>0</v>
      </c>
    </row>
    <row r="303" spans="1:27" ht="12.75">
      <c r="A303" s="3" t="s">
        <v>1699</v>
      </c>
      <c r="B303" s="3" t="s">
        <v>2029</v>
      </c>
      <c r="C303" s="3" t="s">
        <v>2030</v>
      </c>
      <c r="D303" s="3" t="s">
        <v>2113</v>
      </c>
      <c r="E303" s="3" t="s">
        <v>1589</v>
      </c>
      <c r="F303" s="3" t="s">
        <v>2114</v>
      </c>
      <c r="G303" s="3" t="s">
        <v>1591</v>
      </c>
      <c r="H303" s="3" t="s">
        <v>1592</v>
      </c>
      <c r="I303" s="3" t="s">
        <v>2111</v>
      </c>
      <c r="J303" s="4">
        <v>0</v>
      </c>
      <c r="K303" s="4">
        <v>0</v>
      </c>
      <c r="L303" s="4">
        <v>0</v>
      </c>
      <c r="M303" s="4">
        <v>0</v>
      </c>
      <c r="N303" s="5">
        <v>0</v>
      </c>
      <c r="O303" s="5">
        <v>0</v>
      </c>
      <c r="P303" s="5">
        <v>0</v>
      </c>
      <c r="Q303" s="5">
        <v>8667</v>
      </c>
      <c r="R303" s="5">
        <v>0</v>
      </c>
      <c r="S303" s="5">
        <v>0</v>
      </c>
      <c r="T303" s="5">
        <f t="shared" si="37"/>
        <v>8667</v>
      </c>
      <c r="U303" s="5">
        <v>13000</v>
      </c>
      <c r="V303" s="5">
        <v>0</v>
      </c>
      <c r="W303" s="5">
        <v>0</v>
      </c>
      <c r="X303" s="5">
        <v>0</v>
      </c>
      <c r="Y303" s="5">
        <v>21667</v>
      </c>
      <c r="Z303" s="5">
        <f t="shared" si="38"/>
        <v>21667</v>
      </c>
      <c r="AA303" s="20">
        <f t="shared" si="39"/>
        <v>0</v>
      </c>
    </row>
    <row r="304" spans="1:27" ht="12.75">
      <c r="A304" s="3" t="s">
        <v>1699</v>
      </c>
      <c r="B304" s="3" t="s">
        <v>2029</v>
      </c>
      <c r="C304" s="3" t="s">
        <v>2030</v>
      </c>
      <c r="D304" s="3" t="s">
        <v>2115</v>
      </c>
      <c r="E304" s="3" t="s">
        <v>1589</v>
      </c>
      <c r="F304" s="3" t="s">
        <v>2117</v>
      </c>
      <c r="G304" s="3" t="s">
        <v>1591</v>
      </c>
      <c r="H304" s="3" t="s">
        <v>1592</v>
      </c>
      <c r="I304" s="3" t="s">
        <v>2377</v>
      </c>
      <c r="J304" s="4">
        <v>0</v>
      </c>
      <c r="K304" s="4">
        <v>0</v>
      </c>
      <c r="L304" s="4">
        <v>0</v>
      </c>
      <c r="M304" s="4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f t="shared" si="37"/>
        <v>0</v>
      </c>
      <c r="U304" s="5">
        <v>97620</v>
      </c>
      <c r="V304" s="5">
        <v>0</v>
      </c>
      <c r="W304" s="5">
        <v>0</v>
      </c>
      <c r="X304" s="5">
        <v>0</v>
      </c>
      <c r="Y304" s="5">
        <v>97620</v>
      </c>
      <c r="Z304" s="5">
        <f t="shared" si="38"/>
        <v>97620</v>
      </c>
      <c r="AA304" s="20">
        <f t="shared" si="39"/>
        <v>0</v>
      </c>
    </row>
    <row r="305" spans="1:27" ht="12.75">
      <c r="A305" s="3" t="s">
        <v>1699</v>
      </c>
      <c r="B305" s="3" t="s">
        <v>2029</v>
      </c>
      <c r="C305" s="3" t="s">
        <v>2030</v>
      </c>
      <c r="D305" s="3" t="s">
        <v>2197</v>
      </c>
      <c r="E305" s="3" t="s">
        <v>2130</v>
      </c>
      <c r="F305" s="3" t="s">
        <v>2199</v>
      </c>
      <c r="G305" s="3" t="s">
        <v>2200</v>
      </c>
      <c r="H305" s="3" t="s">
        <v>1592</v>
      </c>
      <c r="I305" s="3" t="s">
        <v>2378</v>
      </c>
      <c r="J305" s="4">
        <v>0</v>
      </c>
      <c r="K305" s="4">
        <v>0.166</v>
      </c>
      <c r="L305" s="4">
        <v>1.25</v>
      </c>
      <c r="M305" s="4">
        <v>0</v>
      </c>
      <c r="N305" s="5">
        <v>43528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f t="shared" si="37"/>
        <v>43528</v>
      </c>
      <c r="U305" s="5">
        <f t="shared" si="44"/>
        <v>0</v>
      </c>
      <c r="V305" s="5">
        <v>0</v>
      </c>
      <c r="W305" s="5">
        <v>0</v>
      </c>
      <c r="X305" s="5">
        <v>0</v>
      </c>
      <c r="Y305" s="5">
        <v>43528</v>
      </c>
      <c r="Z305" s="5">
        <f t="shared" si="38"/>
        <v>43528</v>
      </c>
      <c r="AA305" s="20">
        <f t="shared" si="39"/>
        <v>0</v>
      </c>
    </row>
    <row r="306" spans="1:27" ht="12.75">
      <c r="A306" s="3" t="s">
        <v>1699</v>
      </c>
      <c r="B306" s="3" t="s">
        <v>2029</v>
      </c>
      <c r="C306" s="3" t="s">
        <v>2030</v>
      </c>
      <c r="D306" s="3" t="s">
        <v>2201</v>
      </c>
      <c r="E306" s="3" t="s">
        <v>2130</v>
      </c>
      <c r="F306" s="3" t="s">
        <v>2203</v>
      </c>
      <c r="G306" s="3" t="s">
        <v>2204</v>
      </c>
      <c r="H306" s="3" t="s">
        <v>1592</v>
      </c>
      <c r="I306" s="3" t="s">
        <v>2378</v>
      </c>
      <c r="J306" s="4">
        <v>0</v>
      </c>
      <c r="K306" s="4">
        <v>0</v>
      </c>
      <c r="L306" s="4">
        <v>0</v>
      </c>
      <c r="M306" s="4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f t="shared" si="37"/>
        <v>0</v>
      </c>
      <c r="U306" s="5">
        <v>4000</v>
      </c>
      <c r="V306" s="5">
        <v>0</v>
      </c>
      <c r="W306" s="5">
        <v>0</v>
      </c>
      <c r="X306" s="5">
        <v>0</v>
      </c>
      <c r="Y306" s="5">
        <v>4000</v>
      </c>
      <c r="Z306" s="5">
        <f t="shared" si="38"/>
        <v>4000</v>
      </c>
      <c r="AA306" s="20">
        <f t="shared" si="39"/>
        <v>0</v>
      </c>
    </row>
    <row r="307" spans="1:27" ht="12.75">
      <c r="A307" s="3" t="s">
        <v>1699</v>
      </c>
      <c r="B307" s="3" t="s">
        <v>2029</v>
      </c>
      <c r="C307" s="3" t="s">
        <v>2030</v>
      </c>
      <c r="D307" s="3" t="s">
        <v>2256</v>
      </c>
      <c r="E307" s="3" t="s">
        <v>2222</v>
      </c>
      <c r="F307" s="3" t="s">
        <v>2258</v>
      </c>
      <c r="G307" s="3" t="s">
        <v>2259</v>
      </c>
      <c r="H307" s="3" t="s">
        <v>1592</v>
      </c>
      <c r="I307" s="3" t="s">
        <v>2379</v>
      </c>
      <c r="J307" s="4">
        <v>0</v>
      </c>
      <c r="K307" s="4">
        <v>1.75</v>
      </c>
      <c r="L307" s="4">
        <v>0.5</v>
      </c>
      <c r="M307" s="4">
        <v>0</v>
      </c>
      <c r="N307" s="5">
        <v>137225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f t="shared" si="37"/>
        <v>137225</v>
      </c>
      <c r="U307" s="5">
        <f t="shared" si="44"/>
        <v>0</v>
      </c>
      <c r="V307" s="5">
        <v>0</v>
      </c>
      <c r="W307" s="5">
        <v>0</v>
      </c>
      <c r="X307" s="5">
        <v>0</v>
      </c>
      <c r="Y307" s="5">
        <v>137225</v>
      </c>
      <c r="Z307" s="5">
        <f t="shared" si="38"/>
        <v>137225</v>
      </c>
      <c r="AA307" s="20">
        <f t="shared" si="39"/>
        <v>0</v>
      </c>
    </row>
    <row r="308" spans="1:27" ht="13.5" thickBot="1">
      <c r="A308" s="3" t="s">
        <v>1699</v>
      </c>
      <c r="B308" s="3" t="s">
        <v>2029</v>
      </c>
      <c r="C308" s="3" t="s">
        <v>2030</v>
      </c>
      <c r="D308" s="3" t="s">
        <v>2260</v>
      </c>
      <c r="E308" s="3" t="s">
        <v>2222</v>
      </c>
      <c r="F308" s="3" t="s">
        <v>2262</v>
      </c>
      <c r="G308" s="3" t="s">
        <v>2263</v>
      </c>
      <c r="H308" s="3" t="s">
        <v>1592</v>
      </c>
      <c r="I308" s="3" t="s">
        <v>2379</v>
      </c>
      <c r="J308" s="6">
        <v>0</v>
      </c>
      <c r="K308" s="6">
        <v>0</v>
      </c>
      <c r="L308" s="6">
        <v>0</v>
      </c>
      <c r="M308" s="6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f t="shared" si="37"/>
        <v>0</v>
      </c>
      <c r="U308" s="7">
        <v>8000</v>
      </c>
      <c r="V308" s="7">
        <v>0</v>
      </c>
      <c r="W308" s="7">
        <v>0</v>
      </c>
      <c r="X308" s="7">
        <v>0</v>
      </c>
      <c r="Y308" s="7">
        <v>8000</v>
      </c>
      <c r="Z308" s="7">
        <f t="shared" si="38"/>
        <v>8000</v>
      </c>
      <c r="AA308" s="20">
        <f t="shared" si="39"/>
        <v>0</v>
      </c>
    </row>
    <row r="309" spans="9:27" ht="12.75">
      <c r="I309" s="3" t="s">
        <v>163</v>
      </c>
      <c r="J309" s="4">
        <f aca="true" t="shared" si="45" ref="J309:Y309">SUM(J302:J308)</f>
        <v>0</v>
      </c>
      <c r="K309" s="4">
        <f t="shared" si="45"/>
        <v>7.333</v>
      </c>
      <c r="L309" s="4">
        <f t="shared" si="45"/>
        <v>11.295</v>
      </c>
      <c r="M309" s="4">
        <f t="shared" si="45"/>
        <v>0</v>
      </c>
      <c r="N309" s="5">
        <f t="shared" si="45"/>
        <v>813410</v>
      </c>
      <c r="O309" s="5">
        <f t="shared" si="45"/>
        <v>0</v>
      </c>
      <c r="P309" s="5">
        <f t="shared" si="45"/>
        <v>0</v>
      </c>
      <c r="Q309" s="5">
        <f t="shared" si="45"/>
        <v>8667</v>
      </c>
      <c r="R309" s="5">
        <f t="shared" si="45"/>
        <v>0</v>
      </c>
      <c r="S309" s="5">
        <f t="shared" si="45"/>
        <v>0</v>
      </c>
      <c r="T309" s="5">
        <f t="shared" si="45"/>
        <v>822077</v>
      </c>
      <c r="U309" s="5">
        <f t="shared" si="45"/>
        <v>122620</v>
      </c>
      <c r="V309" s="5">
        <f t="shared" si="45"/>
        <v>0</v>
      </c>
      <c r="W309" s="5">
        <f t="shared" si="45"/>
        <v>0</v>
      </c>
      <c r="X309" s="5">
        <f t="shared" si="45"/>
        <v>0</v>
      </c>
      <c r="Y309" s="5">
        <f t="shared" si="45"/>
        <v>944697</v>
      </c>
      <c r="Z309" s="5">
        <f t="shared" si="38"/>
        <v>944697</v>
      </c>
      <c r="AA309" s="20">
        <f t="shared" si="39"/>
        <v>0</v>
      </c>
    </row>
    <row r="310" spans="10:27" ht="12.75">
      <c r="J310" s="4"/>
      <c r="K310" s="4"/>
      <c r="L310" s="4"/>
      <c r="M310" s="4"/>
      <c r="N310" s="5"/>
      <c r="O310" s="5"/>
      <c r="P310" s="5"/>
      <c r="Q310" s="5"/>
      <c r="R310" s="5"/>
      <c r="S310" s="5"/>
      <c r="T310" s="5" t="s">
        <v>2540</v>
      </c>
      <c r="U310" s="5"/>
      <c r="V310" s="5"/>
      <c r="W310" s="5"/>
      <c r="X310" s="5"/>
      <c r="Y310" s="5"/>
      <c r="Z310" s="5" t="s">
        <v>2540</v>
      </c>
      <c r="AA310" s="20" t="s">
        <v>2540</v>
      </c>
    </row>
    <row r="311" spans="1:27" ht="12.75">
      <c r="A311" s="3" t="s">
        <v>1699</v>
      </c>
      <c r="B311" s="3" t="s">
        <v>2029</v>
      </c>
      <c r="C311" s="3" t="s">
        <v>2030</v>
      </c>
      <c r="D311" s="3" t="s">
        <v>2118</v>
      </c>
      <c r="E311" s="3" t="s">
        <v>1589</v>
      </c>
      <c r="F311" s="3" t="s">
        <v>2120</v>
      </c>
      <c r="G311" s="3" t="s">
        <v>1591</v>
      </c>
      <c r="H311" s="3" t="s">
        <v>1592</v>
      </c>
      <c r="I311" s="3" t="s">
        <v>2119</v>
      </c>
      <c r="J311" s="4">
        <v>0.167</v>
      </c>
      <c r="K311" s="4">
        <v>3.166</v>
      </c>
      <c r="L311" s="4">
        <v>3.0660000000000003</v>
      </c>
      <c r="M311" s="4">
        <v>1.916</v>
      </c>
      <c r="N311" s="5">
        <v>354702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f t="shared" si="37"/>
        <v>354702</v>
      </c>
      <c r="U311" s="5">
        <f>SUM(S311:S311)</f>
        <v>0</v>
      </c>
      <c r="V311" s="5">
        <v>0</v>
      </c>
      <c r="W311" s="5">
        <v>0</v>
      </c>
      <c r="X311" s="5">
        <v>0</v>
      </c>
      <c r="Y311" s="5">
        <v>354702</v>
      </c>
      <c r="Z311" s="5">
        <f t="shared" si="38"/>
        <v>354702</v>
      </c>
      <c r="AA311" s="20">
        <f t="shared" si="39"/>
        <v>0</v>
      </c>
    </row>
    <row r="312" spans="1:27" ht="12.75">
      <c r="A312" s="3" t="s">
        <v>1699</v>
      </c>
      <c r="B312" s="3" t="s">
        <v>2029</v>
      </c>
      <c r="C312" s="3" t="s">
        <v>2030</v>
      </c>
      <c r="D312" s="3" t="s">
        <v>2121</v>
      </c>
      <c r="E312" s="3" t="s">
        <v>1589</v>
      </c>
      <c r="F312" s="3" t="s">
        <v>2122</v>
      </c>
      <c r="G312" s="3" t="s">
        <v>1591</v>
      </c>
      <c r="H312" s="3" t="s">
        <v>1592</v>
      </c>
      <c r="I312" s="3" t="s">
        <v>2119</v>
      </c>
      <c r="J312" s="4">
        <v>0</v>
      </c>
      <c r="K312" s="4">
        <v>0</v>
      </c>
      <c r="L312" s="4">
        <v>0</v>
      </c>
      <c r="M312" s="4">
        <v>0</v>
      </c>
      <c r="N312" s="5">
        <v>0</v>
      </c>
      <c r="O312" s="5">
        <v>0</v>
      </c>
      <c r="P312" s="5">
        <v>0</v>
      </c>
      <c r="Q312" s="5">
        <v>17334</v>
      </c>
      <c r="R312" s="5">
        <v>0</v>
      </c>
      <c r="S312" s="5">
        <v>0</v>
      </c>
      <c r="T312" s="5">
        <f t="shared" si="37"/>
        <v>17334</v>
      </c>
      <c r="U312" s="5">
        <f>39568-5625</f>
        <v>33943</v>
      </c>
      <c r="V312" s="5">
        <v>0</v>
      </c>
      <c r="W312" s="5">
        <v>0</v>
      </c>
      <c r="X312" s="5">
        <v>0</v>
      </c>
      <c r="Y312" s="5">
        <v>56902</v>
      </c>
      <c r="Z312" s="5">
        <f t="shared" si="38"/>
        <v>51277</v>
      </c>
      <c r="AA312" s="20">
        <f t="shared" si="39"/>
        <v>5625</v>
      </c>
    </row>
    <row r="313" spans="1:27" ht="12.75">
      <c r="A313" s="3" t="s">
        <v>1699</v>
      </c>
      <c r="B313" s="3" t="s">
        <v>2029</v>
      </c>
      <c r="C313" s="3" t="s">
        <v>2030</v>
      </c>
      <c r="D313" s="3" t="s">
        <v>2205</v>
      </c>
      <c r="E313" s="3" t="s">
        <v>2130</v>
      </c>
      <c r="F313" s="3" t="s">
        <v>2207</v>
      </c>
      <c r="G313" s="3" t="s">
        <v>2208</v>
      </c>
      <c r="H313" s="3" t="s">
        <v>1592</v>
      </c>
      <c r="I313" s="3" t="s">
        <v>2380</v>
      </c>
      <c r="J313" s="4">
        <v>0</v>
      </c>
      <c r="K313" s="4">
        <v>0</v>
      </c>
      <c r="L313" s="4">
        <v>0.25</v>
      </c>
      <c r="M313" s="4">
        <v>0</v>
      </c>
      <c r="N313" s="5">
        <v>5760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f t="shared" si="37"/>
        <v>5760</v>
      </c>
      <c r="U313" s="5">
        <f>SUM(S313:S313)</f>
        <v>0</v>
      </c>
      <c r="V313" s="5">
        <v>0</v>
      </c>
      <c r="W313" s="5">
        <v>0</v>
      </c>
      <c r="X313" s="5">
        <v>0</v>
      </c>
      <c r="Y313" s="5">
        <v>5760</v>
      </c>
      <c r="Z313" s="5">
        <f t="shared" si="38"/>
        <v>5760</v>
      </c>
      <c r="AA313" s="20">
        <f t="shared" si="39"/>
        <v>0</v>
      </c>
    </row>
    <row r="314" spans="1:27" ht="12.75">
      <c r="A314" s="3" t="s">
        <v>1699</v>
      </c>
      <c r="B314" s="3" t="s">
        <v>2029</v>
      </c>
      <c r="C314" s="3" t="s">
        <v>2030</v>
      </c>
      <c r="D314" s="3" t="s">
        <v>2209</v>
      </c>
      <c r="E314" s="3" t="s">
        <v>2130</v>
      </c>
      <c r="F314" s="3" t="s">
        <v>2210</v>
      </c>
      <c r="G314" s="3" t="s">
        <v>2211</v>
      </c>
      <c r="H314" s="3" t="s">
        <v>1592</v>
      </c>
      <c r="I314" s="3" t="s">
        <v>2380</v>
      </c>
      <c r="J314" s="4">
        <v>0</v>
      </c>
      <c r="K314" s="4">
        <v>0</v>
      </c>
      <c r="L314" s="4">
        <v>0</v>
      </c>
      <c r="M314" s="4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f t="shared" si="37"/>
        <v>0</v>
      </c>
      <c r="U314" s="5">
        <f>2000+5625</f>
        <v>7625</v>
      </c>
      <c r="V314" s="5">
        <v>0</v>
      </c>
      <c r="W314" s="5">
        <v>0</v>
      </c>
      <c r="X314" s="5">
        <v>0</v>
      </c>
      <c r="Y314" s="5">
        <v>2000</v>
      </c>
      <c r="Z314" s="5">
        <f t="shared" si="38"/>
        <v>7625</v>
      </c>
      <c r="AA314" s="20">
        <f t="shared" si="39"/>
        <v>-5625</v>
      </c>
    </row>
    <row r="315" spans="1:27" ht="12.75">
      <c r="A315" s="3" t="s">
        <v>1699</v>
      </c>
      <c r="B315" s="3" t="s">
        <v>2029</v>
      </c>
      <c r="C315" s="3" t="s">
        <v>2030</v>
      </c>
      <c r="D315" s="3" t="s">
        <v>2264</v>
      </c>
      <c r="E315" s="3" t="s">
        <v>2222</v>
      </c>
      <c r="F315" s="3" t="s">
        <v>2266</v>
      </c>
      <c r="G315" s="3" t="s">
        <v>2267</v>
      </c>
      <c r="H315" s="3" t="s">
        <v>1592</v>
      </c>
      <c r="I315" s="3" t="s">
        <v>2381</v>
      </c>
      <c r="J315" s="4">
        <v>0</v>
      </c>
      <c r="K315" s="4">
        <v>0.643</v>
      </c>
      <c r="L315" s="4">
        <v>0.667</v>
      </c>
      <c r="M315" s="4">
        <v>0</v>
      </c>
      <c r="N315" s="5">
        <v>60986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f t="shared" si="37"/>
        <v>60986</v>
      </c>
      <c r="U315" s="5">
        <f>SUM(S315:S315)</f>
        <v>0</v>
      </c>
      <c r="V315" s="5">
        <v>0</v>
      </c>
      <c r="W315" s="5">
        <v>0</v>
      </c>
      <c r="X315" s="5">
        <v>0</v>
      </c>
      <c r="Y315" s="5">
        <v>60986</v>
      </c>
      <c r="Z315" s="5">
        <f t="shared" si="38"/>
        <v>60986</v>
      </c>
      <c r="AA315" s="20">
        <f t="shared" si="39"/>
        <v>0</v>
      </c>
    </row>
    <row r="316" spans="1:27" ht="12.75">
      <c r="A316" s="3" t="s">
        <v>1699</v>
      </c>
      <c r="B316" s="3" t="s">
        <v>2029</v>
      </c>
      <c r="C316" s="3" t="s">
        <v>2030</v>
      </c>
      <c r="D316" s="3" t="s">
        <v>2268</v>
      </c>
      <c r="E316" s="3" t="s">
        <v>2222</v>
      </c>
      <c r="F316" s="3" t="s">
        <v>2270</v>
      </c>
      <c r="G316" s="3" t="s">
        <v>2271</v>
      </c>
      <c r="H316" s="3" t="s">
        <v>1592</v>
      </c>
      <c r="I316" s="3" t="s">
        <v>2381</v>
      </c>
      <c r="J316" s="4">
        <v>0</v>
      </c>
      <c r="K316" s="4">
        <v>0</v>
      </c>
      <c r="L316" s="4">
        <v>0</v>
      </c>
      <c r="M316" s="4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f t="shared" si="37"/>
        <v>0</v>
      </c>
      <c r="U316" s="5">
        <v>4000</v>
      </c>
      <c r="V316" s="5">
        <v>0</v>
      </c>
      <c r="W316" s="5">
        <v>0</v>
      </c>
      <c r="X316" s="5">
        <v>0</v>
      </c>
      <c r="Y316" s="5">
        <v>4000</v>
      </c>
      <c r="Z316" s="5">
        <f t="shared" si="38"/>
        <v>4000</v>
      </c>
      <c r="AA316" s="20">
        <f t="shared" si="39"/>
        <v>0</v>
      </c>
    </row>
    <row r="317" spans="1:27" ht="12.75">
      <c r="A317" s="3" t="s">
        <v>1699</v>
      </c>
      <c r="B317" s="3" t="s">
        <v>2029</v>
      </c>
      <c r="C317" s="3" t="s">
        <v>2030</v>
      </c>
      <c r="D317" s="3" t="s">
        <v>2297</v>
      </c>
      <c r="E317" s="3" t="s">
        <v>2278</v>
      </c>
      <c r="F317" s="3" t="s">
        <v>2299</v>
      </c>
      <c r="G317" s="3" t="s">
        <v>2300</v>
      </c>
      <c r="H317" s="3" t="s">
        <v>1592</v>
      </c>
      <c r="I317" s="3" t="s">
        <v>2382</v>
      </c>
      <c r="J317" s="4">
        <v>0</v>
      </c>
      <c r="K317" s="4">
        <v>0</v>
      </c>
      <c r="L317" s="4">
        <v>0</v>
      </c>
      <c r="M317" s="4">
        <v>0</v>
      </c>
      <c r="N317" s="5">
        <v>0</v>
      </c>
      <c r="O317" s="5">
        <v>0</v>
      </c>
      <c r="P317" s="5">
        <v>0</v>
      </c>
      <c r="Q317" s="5">
        <v>1020</v>
      </c>
      <c r="R317" s="5">
        <v>0</v>
      </c>
      <c r="S317" s="5">
        <v>0</v>
      </c>
      <c r="T317" s="5">
        <f t="shared" si="37"/>
        <v>1020</v>
      </c>
      <c r="U317" s="5">
        <v>2000</v>
      </c>
      <c r="V317" s="5">
        <v>0</v>
      </c>
      <c r="W317" s="5">
        <v>0</v>
      </c>
      <c r="X317" s="5">
        <v>0</v>
      </c>
      <c r="Y317" s="5">
        <v>3020</v>
      </c>
      <c r="Z317" s="5">
        <f t="shared" si="38"/>
        <v>3020</v>
      </c>
      <c r="AA317" s="20">
        <f t="shared" si="39"/>
        <v>0</v>
      </c>
    </row>
    <row r="318" spans="1:27" ht="12.75">
      <c r="A318" s="3" t="s">
        <v>1699</v>
      </c>
      <c r="B318" s="3" t="s">
        <v>2029</v>
      </c>
      <c r="C318" s="3" t="s">
        <v>2030</v>
      </c>
      <c r="D318" s="3" t="s">
        <v>2330</v>
      </c>
      <c r="E318" s="3" t="s">
        <v>2307</v>
      </c>
      <c r="F318" s="3" t="s">
        <v>2332</v>
      </c>
      <c r="G318" s="3" t="s">
        <v>2333</v>
      </c>
      <c r="H318" s="3" t="s">
        <v>1592</v>
      </c>
      <c r="I318" s="3" t="s">
        <v>2383</v>
      </c>
      <c r="J318" s="4">
        <v>0</v>
      </c>
      <c r="K318" s="4">
        <v>0</v>
      </c>
      <c r="L318" s="4">
        <v>0.083</v>
      </c>
      <c r="M318" s="4">
        <v>0.167</v>
      </c>
      <c r="N318" s="5">
        <v>9830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f t="shared" si="37"/>
        <v>9830</v>
      </c>
      <c r="U318" s="5">
        <f>SUM(S318:S318)</f>
        <v>0</v>
      </c>
      <c r="V318" s="5">
        <v>0</v>
      </c>
      <c r="W318" s="5">
        <v>0</v>
      </c>
      <c r="X318" s="5">
        <v>0</v>
      </c>
      <c r="Y318" s="5">
        <v>9830</v>
      </c>
      <c r="Z318" s="5">
        <f t="shared" si="38"/>
        <v>9830</v>
      </c>
      <c r="AA318" s="20">
        <f t="shared" si="39"/>
        <v>0</v>
      </c>
    </row>
    <row r="319" spans="1:27" ht="13.5" thickBot="1">
      <c r="A319" s="3" t="s">
        <v>1699</v>
      </c>
      <c r="B319" s="3" t="s">
        <v>2029</v>
      </c>
      <c r="C319" s="3" t="s">
        <v>2030</v>
      </c>
      <c r="D319" s="3" t="s">
        <v>2334</v>
      </c>
      <c r="E319" s="3" t="s">
        <v>2307</v>
      </c>
      <c r="F319" s="3" t="s">
        <v>2336</v>
      </c>
      <c r="G319" s="3" t="s">
        <v>2337</v>
      </c>
      <c r="H319" s="3" t="s">
        <v>1592</v>
      </c>
      <c r="I319" s="3" t="s">
        <v>2383</v>
      </c>
      <c r="J319" s="6">
        <v>0</v>
      </c>
      <c r="K319" s="6">
        <v>0</v>
      </c>
      <c r="L319" s="6">
        <v>0</v>
      </c>
      <c r="M319" s="6">
        <v>0</v>
      </c>
      <c r="N319" s="7">
        <v>0</v>
      </c>
      <c r="O319" s="7">
        <v>0</v>
      </c>
      <c r="P319" s="7">
        <v>0</v>
      </c>
      <c r="Q319" s="7">
        <v>7647</v>
      </c>
      <c r="R319" s="7">
        <v>0</v>
      </c>
      <c r="S319" s="7">
        <v>0</v>
      </c>
      <c r="T319" s="7">
        <f t="shared" si="37"/>
        <v>7647</v>
      </c>
      <c r="U319" s="7">
        <v>4000</v>
      </c>
      <c r="V319" s="7">
        <v>0</v>
      </c>
      <c r="W319" s="7">
        <v>0</v>
      </c>
      <c r="X319" s="7">
        <v>0</v>
      </c>
      <c r="Y319" s="7">
        <v>11647</v>
      </c>
      <c r="Z319" s="7">
        <f t="shared" si="38"/>
        <v>11647</v>
      </c>
      <c r="AA319" s="20">
        <f t="shared" si="39"/>
        <v>0</v>
      </c>
    </row>
    <row r="320" spans="9:27" ht="12.75">
      <c r="I320" s="3" t="s">
        <v>164</v>
      </c>
      <c r="J320" s="4">
        <f aca="true" t="shared" si="46" ref="J320:Y320">SUM(J311:J319)</f>
        <v>0.167</v>
      </c>
      <c r="K320" s="4">
        <f t="shared" si="46"/>
        <v>3.809</v>
      </c>
      <c r="L320" s="4">
        <f t="shared" si="46"/>
        <v>4.066000000000001</v>
      </c>
      <c r="M320" s="4">
        <f t="shared" si="46"/>
        <v>2.0829999999999997</v>
      </c>
      <c r="N320" s="5">
        <f t="shared" si="46"/>
        <v>431278</v>
      </c>
      <c r="O320" s="5">
        <f t="shared" si="46"/>
        <v>0</v>
      </c>
      <c r="P320" s="5">
        <f t="shared" si="46"/>
        <v>0</v>
      </c>
      <c r="Q320" s="5">
        <f t="shared" si="46"/>
        <v>26001</v>
      </c>
      <c r="R320" s="5">
        <f t="shared" si="46"/>
        <v>0</v>
      </c>
      <c r="S320" s="5">
        <f t="shared" si="46"/>
        <v>0</v>
      </c>
      <c r="T320" s="5">
        <f t="shared" si="46"/>
        <v>457279</v>
      </c>
      <c r="U320" s="5">
        <f>SUM(U311:U319)</f>
        <v>51568</v>
      </c>
      <c r="V320" s="5">
        <f t="shared" si="46"/>
        <v>0</v>
      </c>
      <c r="W320" s="5">
        <f t="shared" si="46"/>
        <v>0</v>
      </c>
      <c r="X320" s="5">
        <f t="shared" si="46"/>
        <v>0</v>
      </c>
      <c r="Y320" s="5">
        <f t="shared" si="46"/>
        <v>508847</v>
      </c>
      <c r="Z320" s="5">
        <f t="shared" si="38"/>
        <v>508847</v>
      </c>
      <c r="AA320" s="20">
        <f t="shared" si="39"/>
        <v>0</v>
      </c>
    </row>
    <row r="321" spans="10:27" ht="12.75">
      <c r="J321" s="4"/>
      <c r="K321" s="4"/>
      <c r="L321" s="4"/>
      <c r="M321" s="4"/>
      <c r="N321" s="5"/>
      <c r="O321" s="5"/>
      <c r="P321" s="5"/>
      <c r="Q321" s="5"/>
      <c r="R321" s="5"/>
      <c r="S321" s="5"/>
      <c r="T321" s="5" t="s">
        <v>2540</v>
      </c>
      <c r="U321" s="5"/>
      <c r="V321" s="5"/>
      <c r="W321" s="5"/>
      <c r="X321" s="5"/>
      <c r="Y321" s="5"/>
      <c r="Z321" s="5" t="s">
        <v>2540</v>
      </c>
      <c r="AA321" s="20" t="s">
        <v>2540</v>
      </c>
    </row>
    <row r="322" spans="1:27" ht="12.75">
      <c r="A322" s="3" t="s">
        <v>1699</v>
      </c>
      <c r="B322" s="3" t="s">
        <v>2029</v>
      </c>
      <c r="C322" s="3" t="s">
        <v>2030</v>
      </c>
      <c r="D322" s="3" t="s">
        <v>2123</v>
      </c>
      <c r="E322" s="3" t="s">
        <v>1589</v>
      </c>
      <c r="F322" s="3" t="s">
        <v>2125</v>
      </c>
      <c r="G322" s="3" t="s">
        <v>1591</v>
      </c>
      <c r="H322" s="3" t="s">
        <v>1592</v>
      </c>
      <c r="I322" s="3" t="s">
        <v>2124</v>
      </c>
      <c r="J322" s="4">
        <v>0.334</v>
      </c>
      <c r="K322" s="4">
        <v>6.2490000000000006</v>
      </c>
      <c r="L322" s="4">
        <v>3.462</v>
      </c>
      <c r="M322" s="4">
        <v>1</v>
      </c>
      <c r="N322" s="5">
        <v>468787</v>
      </c>
      <c r="O322" s="5">
        <v>0</v>
      </c>
      <c r="P322" s="5">
        <v>504</v>
      </c>
      <c r="Q322" s="5">
        <v>0</v>
      </c>
      <c r="R322" s="5">
        <v>0</v>
      </c>
      <c r="S322" s="5">
        <v>0</v>
      </c>
      <c r="T322" s="5">
        <f t="shared" si="37"/>
        <v>469291</v>
      </c>
      <c r="U322" s="5">
        <f aca="true" t="shared" si="47" ref="U322:U331">SUM(S322:S322)</f>
        <v>0</v>
      </c>
      <c r="V322" s="5">
        <v>0</v>
      </c>
      <c r="W322" s="5">
        <v>0</v>
      </c>
      <c r="X322" s="5">
        <v>0</v>
      </c>
      <c r="Y322" s="5">
        <v>469291</v>
      </c>
      <c r="Z322" s="5">
        <f t="shared" si="38"/>
        <v>469291</v>
      </c>
      <c r="AA322" s="20">
        <f t="shared" si="39"/>
        <v>0</v>
      </c>
    </row>
    <row r="323" spans="1:27" ht="12.75">
      <c r="A323" s="3" t="s">
        <v>1699</v>
      </c>
      <c r="B323" s="3" t="s">
        <v>2029</v>
      </c>
      <c r="C323" s="3" t="s">
        <v>2030</v>
      </c>
      <c r="D323" s="3" t="s">
        <v>2126</v>
      </c>
      <c r="E323" s="3" t="s">
        <v>1589</v>
      </c>
      <c r="F323" s="3" t="s">
        <v>2127</v>
      </c>
      <c r="G323" s="3" t="s">
        <v>1591</v>
      </c>
      <c r="H323" s="3" t="s">
        <v>1592</v>
      </c>
      <c r="I323" s="3" t="s">
        <v>2124</v>
      </c>
      <c r="J323" s="4">
        <v>0</v>
      </c>
      <c r="K323" s="4">
        <v>0</v>
      </c>
      <c r="L323" s="4">
        <v>0</v>
      </c>
      <c r="M323" s="4">
        <v>0</v>
      </c>
      <c r="N323" s="5">
        <v>0</v>
      </c>
      <c r="O323" s="5">
        <v>0</v>
      </c>
      <c r="P323" s="5">
        <v>0</v>
      </c>
      <c r="Q323" s="5">
        <v>26001</v>
      </c>
      <c r="R323" s="5">
        <v>0</v>
      </c>
      <c r="S323" s="5">
        <v>0</v>
      </c>
      <c r="T323" s="5">
        <f t="shared" si="37"/>
        <v>26001</v>
      </c>
      <c r="U323" s="5">
        <v>64672</v>
      </c>
      <c r="V323" s="5">
        <v>0</v>
      </c>
      <c r="W323" s="5">
        <v>0</v>
      </c>
      <c r="X323" s="5">
        <v>0</v>
      </c>
      <c r="Y323" s="5">
        <v>90673</v>
      </c>
      <c r="Z323" s="5">
        <f t="shared" si="38"/>
        <v>90673</v>
      </c>
      <c r="AA323" s="20">
        <f t="shared" si="39"/>
        <v>0</v>
      </c>
    </row>
    <row r="324" spans="1:27" ht="12.75">
      <c r="A324" s="3" t="s">
        <v>1699</v>
      </c>
      <c r="B324" s="3" t="s">
        <v>2029</v>
      </c>
      <c r="C324" s="3" t="s">
        <v>2030</v>
      </c>
      <c r="D324" s="3" t="s">
        <v>2212</v>
      </c>
      <c r="E324" s="3" t="s">
        <v>2130</v>
      </c>
      <c r="F324" s="3" t="s">
        <v>2214</v>
      </c>
      <c r="G324" s="3" t="s">
        <v>2215</v>
      </c>
      <c r="H324" s="3" t="s">
        <v>1592</v>
      </c>
      <c r="I324" s="3" t="s">
        <v>2384</v>
      </c>
      <c r="J324" s="4">
        <v>0</v>
      </c>
      <c r="K324" s="4">
        <v>0.25</v>
      </c>
      <c r="L324" s="4">
        <v>0.167</v>
      </c>
      <c r="M324" s="4">
        <v>0</v>
      </c>
      <c r="N324" s="5">
        <v>19592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f t="shared" si="37"/>
        <v>19592</v>
      </c>
      <c r="U324" s="5">
        <f t="shared" si="47"/>
        <v>0</v>
      </c>
      <c r="V324" s="5">
        <v>0</v>
      </c>
      <c r="W324" s="5">
        <v>0</v>
      </c>
      <c r="X324" s="5">
        <v>0</v>
      </c>
      <c r="Y324" s="5">
        <v>19592</v>
      </c>
      <c r="Z324" s="5">
        <f t="shared" si="38"/>
        <v>19592</v>
      </c>
      <c r="AA324" s="20">
        <f t="shared" si="39"/>
        <v>0</v>
      </c>
    </row>
    <row r="325" spans="1:27" ht="12.75">
      <c r="A325" s="3" t="s">
        <v>1699</v>
      </c>
      <c r="B325" s="3" t="s">
        <v>2029</v>
      </c>
      <c r="C325" s="3" t="s">
        <v>2030</v>
      </c>
      <c r="D325" s="3" t="s">
        <v>2216</v>
      </c>
      <c r="E325" s="3" t="s">
        <v>2130</v>
      </c>
      <c r="F325" s="3" t="s">
        <v>2218</v>
      </c>
      <c r="G325" s="3" t="s">
        <v>2219</v>
      </c>
      <c r="H325" s="3" t="s">
        <v>1592</v>
      </c>
      <c r="I325" s="3" t="s">
        <v>2384</v>
      </c>
      <c r="J325" s="4">
        <v>0</v>
      </c>
      <c r="K325" s="4">
        <v>0</v>
      </c>
      <c r="L325" s="4">
        <v>0</v>
      </c>
      <c r="M325" s="4">
        <v>0.498</v>
      </c>
      <c r="N325" s="5">
        <v>4299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f t="shared" si="37"/>
        <v>4299</v>
      </c>
      <c r="U325" s="5">
        <f t="shared" si="47"/>
        <v>0</v>
      </c>
      <c r="V325" s="5">
        <v>0</v>
      </c>
      <c r="W325" s="5">
        <v>0</v>
      </c>
      <c r="X325" s="5">
        <v>0</v>
      </c>
      <c r="Y325" s="5">
        <v>4299</v>
      </c>
      <c r="Z325" s="5">
        <f t="shared" si="38"/>
        <v>4299</v>
      </c>
      <c r="AA325" s="20">
        <f t="shared" si="39"/>
        <v>0</v>
      </c>
    </row>
    <row r="326" spans="1:27" ht="12.75">
      <c r="A326" s="3" t="s">
        <v>1699</v>
      </c>
      <c r="B326" s="3" t="s">
        <v>2029</v>
      </c>
      <c r="C326" s="3" t="s">
        <v>2030</v>
      </c>
      <c r="D326" s="3" t="s">
        <v>2272</v>
      </c>
      <c r="E326" s="3" t="s">
        <v>2222</v>
      </c>
      <c r="F326" s="3" t="s">
        <v>2274</v>
      </c>
      <c r="G326" s="3" t="s">
        <v>2275</v>
      </c>
      <c r="H326" s="3" t="s">
        <v>1592</v>
      </c>
      <c r="I326" s="3" t="s">
        <v>2385</v>
      </c>
      <c r="J326" s="4">
        <v>0</v>
      </c>
      <c r="K326" s="4">
        <v>0.667</v>
      </c>
      <c r="L326" s="4">
        <v>0.152</v>
      </c>
      <c r="M326" s="4">
        <v>0</v>
      </c>
      <c r="N326" s="5">
        <v>40770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f t="shared" si="37"/>
        <v>40770</v>
      </c>
      <c r="U326" s="5">
        <f t="shared" si="47"/>
        <v>0</v>
      </c>
      <c r="V326" s="5">
        <v>0</v>
      </c>
      <c r="W326" s="5">
        <v>0</v>
      </c>
      <c r="X326" s="5">
        <v>0</v>
      </c>
      <c r="Y326" s="5">
        <v>40770</v>
      </c>
      <c r="Z326" s="5">
        <f t="shared" si="38"/>
        <v>40770</v>
      </c>
      <c r="AA326" s="20">
        <f t="shared" si="39"/>
        <v>0</v>
      </c>
    </row>
    <row r="327" spans="1:27" ht="12.75">
      <c r="A327" s="3" t="s">
        <v>1699</v>
      </c>
      <c r="B327" s="3" t="s">
        <v>2029</v>
      </c>
      <c r="C327" s="3" t="s">
        <v>2030</v>
      </c>
      <c r="D327" s="3" t="s">
        <v>2301</v>
      </c>
      <c r="E327" s="3" t="s">
        <v>2278</v>
      </c>
      <c r="F327" s="3" t="s">
        <v>2303</v>
      </c>
      <c r="G327" s="3" t="s">
        <v>2304</v>
      </c>
      <c r="H327" s="3" t="s">
        <v>1592</v>
      </c>
      <c r="I327" s="3" t="s">
        <v>2387</v>
      </c>
      <c r="J327" s="4">
        <v>0</v>
      </c>
      <c r="K327" s="4">
        <v>0.5</v>
      </c>
      <c r="L327" s="4">
        <v>0.167</v>
      </c>
      <c r="M327" s="4">
        <v>0</v>
      </c>
      <c r="N327" s="5">
        <v>23656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f t="shared" si="37"/>
        <v>23656</v>
      </c>
      <c r="U327" s="5">
        <f t="shared" si="47"/>
        <v>0</v>
      </c>
      <c r="V327" s="5">
        <v>0</v>
      </c>
      <c r="W327" s="5">
        <v>0</v>
      </c>
      <c r="X327" s="5">
        <v>0</v>
      </c>
      <c r="Y327" s="5">
        <v>23656</v>
      </c>
      <c r="Z327" s="5">
        <f t="shared" si="38"/>
        <v>23656</v>
      </c>
      <c r="AA327" s="20">
        <f t="shared" si="39"/>
        <v>0</v>
      </c>
    </row>
    <row r="328" spans="1:27" ht="12.75">
      <c r="A328" s="3" t="s">
        <v>1699</v>
      </c>
      <c r="B328" s="3" t="s">
        <v>2029</v>
      </c>
      <c r="C328" s="3" t="s">
        <v>2030</v>
      </c>
      <c r="D328" s="3" t="s">
        <v>2338</v>
      </c>
      <c r="E328" s="3" t="s">
        <v>2307</v>
      </c>
      <c r="F328" s="3" t="s">
        <v>2340</v>
      </c>
      <c r="G328" s="3" t="s">
        <v>2426</v>
      </c>
      <c r="H328" s="3" t="s">
        <v>1592</v>
      </c>
      <c r="I328" s="3" t="s">
        <v>2386</v>
      </c>
      <c r="J328" s="4">
        <v>0</v>
      </c>
      <c r="K328" s="4">
        <v>1</v>
      </c>
      <c r="L328" s="4">
        <v>0.319</v>
      </c>
      <c r="M328" s="4">
        <v>0</v>
      </c>
      <c r="N328" s="5">
        <v>44795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f t="shared" si="37"/>
        <v>44795</v>
      </c>
      <c r="U328" s="5">
        <f t="shared" si="47"/>
        <v>0</v>
      </c>
      <c r="V328" s="5">
        <v>0</v>
      </c>
      <c r="W328" s="5">
        <v>0</v>
      </c>
      <c r="X328" s="5">
        <v>0</v>
      </c>
      <c r="Y328" s="5">
        <v>44795</v>
      </c>
      <c r="Z328" s="5">
        <f t="shared" si="38"/>
        <v>44795</v>
      </c>
      <c r="AA328" s="20">
        <f t="shared" si="39"/>
        <v>0</v>
      </c>
    </row>
    <row r="329" spans="1:27" ht="12.75">
      <c r="A329" s="3" t="s">
        <v>1699</v>
      </c>
      <c r="B329" s="3" t="s">
        <v>2029</v>
      </c>
      <c r="C329" s="3" t="s">
        <v>2030</v>
      </c>
      <c r="D329" s="3" t="s">
        <v>2436</v>
      </c>
      <c r="E329" s="3" t="s">
        <v>2429</v>
      </c>
      <c r="F329" s="3" t="s">
        <v>2438</v>
      </c>
      <c r="G329" s="3" t="s">
        <v>2439</v>
      </c>
      <c r="H329" s="3" t="s">
        <v>1592</v>
      </c>
      <c r="I329" s="3" t="s">
        <v>2388</v>
      </c>
      <c r="J329" s="4">
        <v>0</v>
      </c>
      <c r="K329" s="4">
        <v>0.167</v>
      </c>
      <c r="L329" s="4">
        <v>0</v>
      </c>
      <c r="M329" s="4">
        <v>0</v>
      </c>
      <c r="N329" s="5">
        <v>9886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f t="shared" si="37"/>
        <v>9886</v>
      </c>
      <c r="U329" s="5">
        <f t="shared" si="47"/>
        <v>0</v>
      </c>
      <c r="V329" s="5">
        <v>0</v>
      </c>
      <c r="W329" s="5">
        <v>0</v>
      </c>
      <c r="X329" s="5">
        <v>0</v>
      </c>
      <c r="Y329" s="5">
        <v>9886</v>
      </c>
      <c r="Z329" s="5">
        <f t="shared" si="38"/>
        <v>9886</v>
      </c>
      <c r="AA329" s="20">
        <f t="shared" si="39"/>
        <v>0</v>
      </c>
    </row>
    <row r="330" spans="1:27" ht="12.75">
      <c r="A330" s="3" t="s">
        <v>1699</v>
      </c>
      <c r="B330" s="3" t="s">
        <v>2029</v>
      </c>
      <c r="C330" s="3" t="s">
        <v>2030</v>
      </c>
      <c r="D330" s="3" t="s">
        <v>2440</v>
      </c>
      <c r="E330" s="3" t="s">
        <v>2429</v>
      </c>
      <c r="F330" s="3" t="s">
        <v>2442</v>
      </c>
      <c r="G330" s="3" t="s">
        <v>2443</v>
      </c>
      <c r="H330" s="3" t="s">
        <v>1592</v>
      </c>
      <c r="I330" s="3" t="s">
        <v>2388</v>
      </c>
      <c r="J330" s="4">
        <v>0</v>
      </c>
      <c r="K330" s="4">
        <v>0</v>
      </c>
      <c r="L330" s="4">
        <v>0</v>
      </c>
      <c r="M330" s="4">
        <v>0</v>
      </c>
      <c r="N330" s="5">
        <v>0</v>
      </c>
      <c r="O330" s="5">
        <v>0</v>
      </c>
      <c r="P330" s="5">
        <v>0</v>
      </c>
      <c r="Q330" s="5">
        <v>1020</v>
      </c>
      <c r="R330" s="5">
        <v>0</v>
      </c>
      <c r="S330" s="5">
        <v>0</v>
      </c>
      <c r="T330" s="5">
        <f t="shared" si="37"/>
        <v>1020</v>
      </c>
      <c r="U330" s="5">
        <v>4000</v>
      </c>
      <c r="V330" s="5">
        <v>0</v>
      </c>
      <c r="W330" s="5">
        <v>0</v>
      </c>
      <c r="X330" s="5">
        <v>0</v>
      </c>
      <c r="Y330" s="5">
        <v>5020</v>
      </c>
      <c r="Z330" s="5">
        <f t="shared" si="38"/>
        <v>5020</v>
      </c>
      <c r="AA330" s="20">
        <f t="shared" si="39"/>
        <v>0</v>
      </c>
    </row>
    <row r="331" spans="1:27" ht="12.75">
      <c r="A331" s="3" t="s">
        <v>1699</v>
      </c>
      <c r="B331" s="3" t="s">
        <v>2029</v>
      </c>
      <c r="C331" s="3" t="s">
        <v>2030</v>
      </c>
      <c r="D331" s="3" t="s">
        <v>2456</v>
      </c>
      <c r="E331" s="3" t="s">
        <v>2449</v>
      </c>
      <c r="F331" s="3" t="s">
        <v>2458</v>
      </c>
      <c r="G331" s="3" t="s">
        <v>2459</v>
      </c>
      <c r="H331" s="3" t="s">
        <v>1592</v>
      </c>
      <c r="I331" s="3" t="s">
        <v>2389</v>
      </c>
      <c r="J331" s="4">
        <v>0</v>
      </c>
      <c r="K331" s="4">
        <v>0.667</v>
      </c>
      <c r="L331" s="4">
        <v>0</v>
      </c>
      <c r="M331" s="4">
        <v>0</v>
      </c>
      <c r="N331" s="5">
        <v>40005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f aca="true" t="shared" si="48" ref="T331:T399">SUM(N331:R331)</f>
        <v>40005</v>
      </c>
      <c r="U331" s="5">
        <f t="shared" si="47"/>
        <v>0</v>
      </c>
      <c r="V331" s="5">
        <v>0</v>
      </c>
      <c r="W331" s="5">
        <v>0</v>
      </c>
      <c r="X331" s="5">
        <v>0</v>
      </c>
      <c r="Y331" s="5">
        <v>40005</v>
      </c>
      <c r="Z331" s="5">
        <f aca="true" t="shared" si="49" ref="Z331:Z399">SUM(T331:X331)</f>
        <v>40005</v>
      </c>
      <c r="AA331" s="20">
        <f t="shared" si="39"/>
        <v>0</v>
      </c>
    </row>
    <row r="332" spans="1:27" ht="13.5" thickBot="1">
      <c r="A332" s="3" t="s">
        <v>1699</v>
      </c>
      <c r="B332" s="3" t="s">
        <v>2029</v>
      </c>
      <c r="C332" s="3" t="s">
        <v>2030</v>
      </c>
      <c r="D332" s="3" t="s">
        <v>2460</v>
      </c>
      <c r="E332" s="3" t="s">
        <v>2449</v>
      </c>
      <c r="F332" s="3" t="s">
        <v>2462</v>
      </c>
      <c r="G332" s="3" t="s">
        <v>2463</v>
      </c>
      <c r="H332" s="3" t="s">
        <v>1592</v>
      </c>
      <c r="I332" s="3" t="s">
        <v>2389</v>
      </c>
      <c r="J332" s="6">
        <v>0</v>
      </c>
      <c r="K332" s="6">
        <v>0</v>
      </c>
      <c r="L332" s="6">
        <v>0</v>
      </c>
      <c r="M332" s="6">
        <v>0</v>
      </c>
      <c r="N332" s="7">
        <v>0</v>
      </c>
      <c r="O332" s="7">
        <v>0</v>
      </c>
      <c r="P332" s="7">
        <v>0</v>
      </c>
      <c r="Q332" s="7">
        <v>7647</v>
      </c>
      <c r="R332" s="7">
        <v>0</v>
      </c>
      <c r="S332" s="7">
        <v>0</v>
      </c>
      <c r="T332" s="7">
        <f t="shared" si="48"/>
        <v>7647</v>
      </c>
      <c r="U332" s="7">
        <v>13000</v>
      </c>
      <c r="V332" s="7">
        <v>0</v>
      </c>
      <c r="W332" s="7">
        <v>0</v>
      </c>
      <c r="X332" s="7">
        <v>0</v>
      </c>
      <c r="Y332" s="7">
        <v>20647</v>
      </c>
      <c r="Z332" s="7">
        <f t="shared" si="49"/>
        <v>20647</v>
      </c>
      <c r="AA332" s="20">
        <f aca="true" t="shared" si="50" ref="AA332:AA397">+Y332-Z332</f>
        <v>0</v>
      </c>
    </row>
    <row r="333" spans="9:27" ht="12.75">
      <c r="I333" s="3" t="s">
        <v>165</v>
      </c>
      <c r="J333" s="4">
        <f aca="true" t="shared" si="51" ref="J333:Y333">SUM(J322:J332)</f>
        <v>0.334</v>
      </c>
      <c r="K333" s="4">
        <f t="shared" si="51"/>
        <v>9.5</v>
      </c>
      <c r="L333" s="4">
        <f t="shared" si="51"/>
        <v>4.267</v>
      </c>
      <c r="M333" s="4">
        <f t="shared" si="51"/>
        <v>1.498</v>
      </c>
      <c r="N333" s="5">
        <f t="shared" si="51"/>
        <v>651790</v>
      </c>
      <c r="O333" s="5">
        <f t="shared" si="51"/>
        <v>0</v>
      </c>
      <c r="P333" s="5">
        <f t="shared" si="51"/>
        <v>504</v>
      </c>
      <c r="Q333" s="5">
        <f t="shared" si="51"/>
        <v>34668</v>
      </c>
      <c r="R333" s="5">
        <f t="shared" si="51"/>
        <v>0</v>
      </c>
      <c r="S333" s="5">
        <f t="shared" si="51"/>
        <v>0</v>
      </c>
      <c r="T333" s="5">
        <f t="shared" si="51"/>
        <v>686962</v>
      </c>
      <c r="U333" s="5">
        <f t="shared" si="51"/>
        <v>81672</v>
      </c>
      <c r="V333" s="5">
        <f t="shared" si="51"/>
        <v>0</v>
      </c>
      <c r="W333" s="5">
        <f t="shared" si="51"/>
        <v>0</v>
      </c>
      <c r="X333" s="5">
        <f t="shared" si="51"/>
        <v>0</v>
      </c>
      <c r="Y333" s="5">
        <f t="shared" si="51"/>
        <v>768634</v>
      </c>
      <c r="Z333" s="5">
        <f t="shared" si="49"/>
        <v>768634</v>
      </c>
      <c r="AA333" s="20">
        <f t="shared" si="50"/>
        <v>0</v>
      </c>
    </row>
    <row r="334" spans="10:27" ht="12.75">
      <c r="J334" s="4"/>
      <c r="K334" s="4"/>
      <c r="L334" s="4"/>
      <c r="M334" s="4"/>
      <c r="N334" s="5"/>
      <c r="O334" s="5"/>
      <c r="P334" s="5"/>
      <c r="Q334" s="5"/>
      <c r="R334" s="5"/>
      <c r="S334" s="5"/>
      <c r="T334" s="5" t="s">
        <v>2540</v>
      </c>
      <c r="U334" s="5"/>
      <c r="V334" s="5"/>
      <c r="W334" s="5"/>
      <c r="X334" s="5"/>
      <c r="Y334" s="5"/>
      <c r="Z334" s="5" t="s">
        <v>2540</v>
      </c>
      <c r="AA334" s="20" t="s">
        <v>2540</v>
      </c>
    </row>
    <row r="335" spans="7:79" ht="12.75">
      <c r="G335" s="8"/>
      <c r="I335" s="3" t="s">
        <v>166</v>
      </c>
      <c r="J335" s="4" t="s">
        <v>2540</v>
      </c>
      <c r="K335" s="4" t="s">
        <v>2540</v>
      </c>
      <c r="L335" s="4" t="s">
        <v>2540</v>
      </c>
      <c r="M335" s="4" t="s">
        <v>2540</v>
      </c>
      <c r="N335" s="5" t="s">
        <v>2540</v>
      </c>
      <c r="O335" s="5" t="s">
        <v>2540</v>
      </c>
      <c r="P335" s="5" t="s">
        <v>2540</v>
      </c>
      <c r="Q335" s="5" t="s">
        <v>2540</v>
      </c>
      <c r="R335" s="5" t="s">
        <v>2540</v>
      </c>
      <c r="S335" s="5" t="s">
        <v>2540</v>
      </c>
      <c r="T335" s="5" t="s">
        <v>2540</v>
      </c>
      <c r="U335" s="5" t="s">
        <v>2540</v>
      </c>
      <c r="V335" s="5" t="s">
        <v>2540</v>
      </c>
      <c r="W335" s="5" t="s">
        <v>2540</v>
      </c>
      <c r="X335" s="5" t="s">
        <v>2540</v>
      </c>
      <c r="Y335" s="5" t="s">
        <v>2540</v>
      </c>
      <c r="Z335" s="5" t="s">
        <v>2540</v>
      </c>
      <c r="AA335" s="20" t="s">
        <v>2540</v>
      </c>
      <c r="AB335" s="4" t="s">
        <v>2540</v>
      </c>
      <c r="AC335" s="4" t="s">
        <v>2540</v>
      </c>
      <c r="AD335" s="4" t="s">
        <v>2540</v>
      </c>
      <c r="AE335" s="4" t="s">
        <v>2540</v>
      </c>
      <c r="AF335" s="4" t="s">
        <v>2540</v>
      </c>
      <c r="AG335" s="4" t="s">
        <v>2540</v>
      </c>
      <c r="AH335" s="4" t="s">
        <v>2540</v>
      </c>
      <c r="AI335" s="4" t="s">
        <v>2540</v>
      </c>
      <c r="AJ335" s="4" t="s">
        <v>2540</v>
      </c>
      <c r="AK335" s="4" t="s">
        <v>2540</v>
      </c>
      <c r="AL335" s="4" t="s">
        <v>2540</v>
      </c>
      <c r="AM335" s="4" t="s">
        <v>2540</v>
      </c>
      <c r="AN335" s="4" t="s">
        <v>2540</v>
      </c>
      <c r="AO335" s="4" t="s">
        <v>2540</v>
      </c>
      <c r="AP335" s="4" t="s">
        <v>2540</v>
      </c>
      <c r="AQ335" s="4" t="s">
        <v>2540</v>
      </c>
      <c r="AR335" s="4" t="s">
        <v>2540</v>
      </c>
      <c r="AS335" s="4" t="s">
        <v>2540</v>
      </c>
      <c r="AT335" s="4" t="s">
        <v>2540</v>
      </c>
      <c r="AU335" s="4" t="s">
        <v>2540</v>
      </c>
      <c r="AV335" s="4" t="s">
        <v>2540</v>
      </c>
      <c r="AW335" s="4" t="s">
        <v>2540</v>
      </c>
      <c r="AX335" s="4" t="s">
        <v>2540</v>
      </c>
      <c r="AY335" s="4" t="s">
        <v>2540</v>
      </c>
      <c r="AZ335" s="4" t="s">
        <v>2540</v>
      </c>
      <c r="BA335" s="4" t="s">
        <v>2540</v>
      </c>
      <c r="BB335" s="4" t="s">
        <v>2540</v>
      </c>
      <c r="BC335" s="4" t="s">
        <v>2540</v>
      </c>
      <c r="BD335" s="4" t="s">
        <v>2540</v>
      </c>
      <c r="BE335" s="4" t="s">
        <v>2540</v>
      </c>
      <c r="BF335" s="4" t="s">
        <v>2540</v>
      </c>
      <c r="BG335" s="4" t="s">
        <v>2540</v>
      </c>
      <c r="BH335" s="4" t="s">
        <v>2540</v>
      </c>
      <c r="BI335" s="4" t="s">
        <v>2540</v>
      </c>
      <c r="BJ335" s="4" t="s">
        <v>2540</v>
      </c>
      <c r="BK335" s="4" t="s">
        <v>2540</v>
      </c>
      <c r="BL335" s="4" t="s">
        <v>2540</v>
      </c>
      <c r="BM335" s="4" t="s">
        <v>2540</v>
      </c>
      <c r="BN335" s="4" t="s">
        <v>2540</v>
      </c>
      <c r="BO335" s="4" t="s">
        <v>2540</v>
      </c>
      <c r="BP335" s="4" t="s">
        <v>2540</v>
      </c>
      <c r="BQ335" s="4" t="s">
        <v>2540</v>
      </c>
      <c r="BR335" s="4" t="s">
        <v>2540</v>
      </c>
      <c r="BS335" s="4" t="s">
        <v>2540</v>
      </c>
      <c r="BT335" s="4" t="s">
        <v>2540</v>
      </c>
      <c r="BU335" s="4" t="s">
        <v>2540</v>
      </c>
      <c r="BV335" s="4" t="s">
        <v>2540</v>
      </c>
      <c r="BW335" s="4" t="s">
        <v>2540</v>
      </c>
      <c r="BX335" s="4" t="s">
        <v>2540</v>
      </c>
      <c r="BY335" s="4" t="s">
        <v>2540</v>
      </c>
      <c r="BZ335" s="4" t="s">
        <v>2540</v>
      </c>
      <c r="CA335" s="4" t="s">
        <v>2540</v>
      </c>
    </row>
    <row r="336" spans="10:27" ht="12.75">
      <c r="J336" s="4"/>
      <c r="K336" s="4"/>
      <c r="L336" s="4"/>
      <c r="M336" s="4"/>
      <c r="N336" s="5"/>
      <c r="O336" s="5"/>
      <c r="P336" s="5"/>
      <c r="Q336" s="5"/>
      <c r="R336" s="5"/>
      <c r="S336" s="5"/>
      <c r="T336" s="5" t="s">
        <v>2540</v>
      </c>
      <c r="U336" s="5"/>
      <c r="V336" s="5"/>
      <c r="W336" s="5"/>
      <c r="X336" s="5"/>
      <c r="Y336" s="5"/>
      <c r="Z336" s="5" t="s">
        <v>2540</v>
      </c>
      <c r="AA336" s="20" t="s">
        <v>2540</v>
      </c>
    </row>
    <row r="337" spans="9:72" ht="12.75">
      <c r="I337" s="3" t="s">
        <v>1306</v>
      </c>
      <c r="J337" s="4">
        <f aca="true" t="shared" si="52" ref="J337:Y337">SUM(J265:J266)+SUM(J275:J276)+SUM(J285:J286)+SUM(J293:J294)+SUM(J302:J303)+(J304)+SUM(J311:J312)+SUM(J322:J323)</f>
        <v>0.501</v>
      </c>
      <c r="K337" s="4">
        <f t="shared" si="52"/>
        <v>38.839</v>
      </c>
      <c r="L337" s="4">
        <f t="shared" si="52"/>
        <v>32.605</v>
      </c>
      <c r="M337" s="4">
        <f t="shared" si="52"/>
        <v>7.593999999999999</v>
      </c>
      <c r="N337" s="9">
        <f t="shared" si="52"/>
        <v>3354606</v>
      </c>
      <c r="O337" s="5">
        <v>0</v>
      </c>
      <c r="P337" s="9">
        <f t="shared" si="52"/>
        <v>504</v>
      </c>
      <c r="Q337" s="9">
        <f t="shared" si="52"/>
        <v>125672</v>
      </c>
      <c r="R337" s="5">
        <v>0</v>
      </c>
      <c r="S337" s="9">
        <f t="shared" si="52"/>
        <v>0</v>
      </c>
      <c r="T337" s="9">
        <f t="shared" si="52"/>
        <v>3480782</v>
      </c>
      <c r="U337" s="9">
        <f t="shared" si="52"/>
        <v>376716</v>
      </c>
      <c r="V337" s="5">
        <v>0</v>
      </c>
      <c r="W337" s="9">
        <f t="shared" si="52"/>
        <v>0</v>
      </c>
      <c r="X337" s="9">
        <f t="shared" si="52"/>
        <v>0</v>
      </c>
      <c r="Y337" s="9">
        <f t="shared" si="52"/>
        <v>3863123</v>
      </c>
      <c r="Z337" s="5">
        <f t="shared" si="49"/>
        <v>3857498</v>
      </c>
      <c r="AA337" s="20" t="s">
        <v>2540</v>
      </c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</row>
    <row r="338" spans="9:28" ht="12.75">
      <c r="I338" s="3" t="s">
        <v>167</v>
      </c>
      <c r="J338" s="10">
        <f aca="true" t="shared" si="53" ref="J338:Y338">SUM(J251:J252)+SUM(J267:J268)+SUM(J277:J278)+SUM(J287:J288)+SUM(J305:J306)+SUM(J313:J314)+SUM(J324:J325)+(J295)+(J339)</f>
        <v>0</v>
      </c>
      <c r="K338" s="11">
        <f t="shared" si="53"/>
        <v>4.976</v>
      </c>
      <c r="L338" s="11">
        <f t="shared" si="53"/>
        <v>5.236000000000001</v>
      </c>
      <c r="M338" s="11">
        <f t="shared" si="53"/>
        <v>2.044</v>
      </c>
      <c r="N338" s="5">
        <f t="shared" si="53"/>
        <v>507239</v>
      </c>
      <c r="O338" s="5">
        <f t="shared" si="53"/>
        <v>0</v>
      </c>
      <c r="P338" s="5">
        <f t="shared" si="53"/>
        <v>125711</v>
      </c>
      <c r="Q338" s="5">
        <f t="shared" si="53"/>
        <v>43335</v>
      </c>
      <c r="R338" s="5">
        <f t="shared" si="53"/>
        <v>0</v>
      </c>
      <c r="S338" s="5">
        <f t="shared" si="53"/>
        <v>0</v>
      </c>
      <c r="T338" s="5">
        <f t="shared" si="53"/>
        <v>676285</v>
      </c>
      <c r="U338" s="5">
        <f t="shared" si="53"/>
        <v>116833</v>
      </c>
      <c r="V338" s="5">
        <f t="shared" si="53"/>
        <v>0</v>
      </c>
      <c r="W338" s="5">
        <f t="shared" si="53"/>
        <v>0</v>
      </c>
      <c r="X338" s="5">
        <f t="shared" si="53"/>
        <v>0</v>
      </c>
      <c r="Y338" s="5">
        <f t="shared" si="53"/>
        <v>787493</v>
      </c>
      <c r="Z338" s="12">
        <f t="shared" si="49"/>
        <v>793118</v>
      </c>
      <c r="AA338" s="20" t="s">
        <v>2540</v>
      </c>
      <c r="AB338" s="3" t="s">
        <v>2540</v>
      </c>
    </row>
    <row r="339" spans="10:27" ht="12.75" hidden="1">
      <c r="J339" s="4">
        <v>0</v>
      </c>
      <c r="K339" s="4">
        <f aca="true" t="shared" si="54" ref="K339:Y339">SUM(K253:K254)+SUM(K269:K270)+SUM(K279:K280)+SUM(K289:K290)+SUM(K307:K308)+SUM(K315:K316)+(K326)+(K296)</f>
        <v>4.393</v>
      </c>
      <c r="L339" s="4">
        <f t="shared" si="54"/>
        <v>3.152</v>
      </c>
      <c r="M339" s="4">
        <f t="shared" si="54"/>
        <v>1.296</v>
      </c>
      <c r="N339" s="5">
        <f t="shared" si="54"/>
        <v>407172</v>
      </c>
      <c r="O339" s="5">
        <f t="shared" si="54"/>
        <v>0</v>
      </c>
      <c r="P339" s="5">
        <f t="shared" si="54"/>
        <v>67461</v>
      </c>
      <c r="Q339" s="5">
        <f t="shared" si="54"/>
        <v>38235</v>
      </c>
      <c r="R339" s="5">
        <f t="shared" si="54"/>
        <v>0</v>
      </c>
      <c r="S339" s="5">
        <f t="shared" si="54"/>
        <v>0</v>
      </c>
      <c r="T339" s="5">
        <f t="shared" si="54"/>
        <v>512868</v>
      </c>
      <c r="U339" s="5">
        <f t="shared" si="54"/>
        <v>81970</v>
      </c>
      <c r="V339" s="5">
        <f t="shared" si="54"/>
        <v>0</v>
      </c>
      <c r="W339" s="5">
        <f t="shared" si="54"/>
        <v>0</v>
      </c>
      <c r="X339" s="5">
        <f t="shared" si="54"/>
        <v>0</v>
      </c>
      <c r="Y339" s="5">
        <f t="shared" si="54"/>
        <v>594838</v>
      </c>
      <c r="Z339" s="12">
        <f t="shared" si="49"/>
        <v>594838</v>
      </c>
      <c r="AA339" s="20">
        <f t="shared" si="50"/>
        <v>0</v>
      </c>
    </row>
    <row r="340" spans="9:28" ht="12.75">
      <c r="I340" s="3" t="s">
        <v>168</v>
      </c>
      <c r="J340" s="4">
        <f aca="true" t="shared" si="55" ref="J340:Y340">SUM(J255:J256)+(J271)+(J281)+(J317)+(J327)+(J297)+(J341)</f>
        <v>0</v>
      </c>
      <c r="K340" s="4">
        <f t="shared" si="55"/>
        <v>1.667</v>
      </c>
      <c r="L340" s="4">
        <f t="shared" si="55"/>
        <v>0.652</v>
      </c>
      <c r="M340" s="4">
        <f t="shared" si="55"/>
        <v>0.167</v>
      </c>
      <c r="N340" s="5">
        <f>SUM(N255:N256)+(N271)+(N281)+(N317)+(N327)+(N297)+(N341)</f>
        <v>90864</v>
      </c>
      <c r="O340" s="5">
        <v>0</v>
      </c>
      <c r="P340" s="5">
        <f t="shared" si="55"/>
        <v>169557</v>
      </c>
      <c r="Q340" s="5">
        <f t="shared" si="55"/>
        <v>26001</v>
      </c>
      <c r="R340" s="5">
        <v>0</v>
      </c>
      <c r="S340" s="5">
        <f t="shared" si="55"/>
        <v>0</v>
      </c>
      <c r="T340" s="5">
        <f t="shared" si="55"/>
        <v>286422</v>
      </c>
      <c r="U340" s="5">
        <f t="shared" si="55"/>
        <v>151875</v>
      </c>
      <c r="V340" s="5">
        <v>0</v>
      </c>
      <c r="W340" s="5">
        <v>0</v>
      </c>
      <c r="X340" s="5">
        <v>0</v>
      </c>
      <c r="Y340" s="5">
        <f t="shared" si="55"/>
        <v>438297</v>
      </c>
      <c r="Z340" s="12">
        <f t="shared" si="49"/>
        <v>438297</v>
      </c>
      <c r="AA340" s="20">
        <f t="shared" si="50"/>
        <v>0</v>
      </c>
      <c r="AB340" s="3" t="s">
        <v>2540</v>
      </c>
    </row>
    <row r="341" spans="10:27" ht="13.5" hidden="1" thickBot="1">
      <c r="J341" s="4">
        <f>SUM(J257:J258)+(J272)+(J282)+SUM(J318:J319)+(J328)+SUM(J298:J299)</f>
        <v>0</v>
      </c>
      <c r="K341" s="4">
        <f aca="true" t="shared" si="56" ref="K341:Y341">SUM(K257:K258)+(K272)+(K282)+SUM(K318:K319)+(K328)+SUM(K298:K299)</f>
        <v>1.167</v>
      </c>
      <c r="L341" s="4">
        <f t="shared" si="56"/>
        <v>0.48500000000000004</v>
      </c>
      <c r="M341" s="4">
        <f t="shared" si="56"/>
        <v>0.167</v>
      </c>
      <c r="N341" s="5">
        <f t="shared" si="56"/>
        <v>67208</v>
      </c>
      <c r="O341" s="5">
        <f t="shared" si="56"/>
        <v>0</v>
      </c>
      <c r="P341" s="5">
        <f t="shared" si="56"/>
        <v>138637</v>
      </c>
      <c r="Q341" s="5">
        <f t="shared" si="56"/>
        <v>22941</v>
      </c>
      <c r="R341" s="5">
        <f t="shared" si="56"/>
        <v>0</v>
      </c>
      <c r="S341" s="5">
        <f t="shared" si="56"/>
        <v>0</v>
      </c>
      <c r="T341" s="5">
        <f t="shared" si="56"/>
        <v>228786</v>
      </c>
      <c r="U341" s="5">
        <f t="shared" si="56"/>
        <v>99937</v>
      </c>
      <c r="V341" s="5">
        <f t="shared" si="56"/>
        <v>0</v>
      </c>
      <c r="W341" s="5">
        <f t="shared" si="56"/>
        <v>0</v>
      </c>
      <c r="X341" s="5">
        <f t="shared" si="56"/>
        <v>0</v>
      </c>
      <c r="Y341" s="5">
        <f t="shared" si="56"/>
        <v>328723</v>
      </c>
      <c r="Z341" s="7">
        <f t="shared" si="49"/>
        <v>328723</v>
      </c>
      <c r="AA341" s="20">
        <f t="shared" si="50"/>
        <v>0</v>
      </c>
    </row>
    <row r="342" spans="9:27" ht="13.5" thickBot="1">
      <c r="I342" s="3" t="s">
        <v>169</v>
      </c>
      <c r="J342" s="13">
        <f aca="true" t="shared" si="57" ref="J342:Y342">SUM(J259:J260)+SUM(J329:J330)+(J343)</f>
        <v>0</v>
      </c>
      <c r="K342" s="14">
        <f t="shared" si="57"/>
        <v>0.8340000000000001</v>
      </c>
      <c r="L342" s="13">
        <f t="shared" si="57"/>
        <v>0</v>
      </c>
      <c r="M342" s="13">
        <f t="shared" si="57"/>
        <v>0</v>
      </c>
      <c r="N342" s="7">
        <f t="shared" si="57"/>
        <v>49891</v>
      </c>
      <c r="O342" s="7">
        <f t="shared" si="57"/>
        <v>0</v>
      </c>
      <c r="P342" s="7">
        <f t="shared" si="57"/>
        <v>11611</v>
      </c>
      <c r="Q342" s="7">
        <f t="shared" si="57"/>
        <v>8667</v>
      </c>
      <c r="R342" s="7">
        <f t="shared" si="57"/>
        <v>0</v>
      </c>
      <c r="S342" s="7">
        <f t="shared" si="57"/>
        <v>0</v>
      </c>
      <c r="T342" s="7">
        <f t="shared" si="57"/>
        <v>70169</v>
      </c>
      <c r="U342" s="7">
        <f t="shared" si="57"/>
        <v>48416</v>
      </c>
      <c r="V342" s="7">
        <f t="shared" si="57"/>
        <v>0</v>
      </c>
      <c r="W342" s="7">
        <f t="shared" si="57"/>
        <v>0</v>
      </c>
      <c r="X342" s="7">
        <f t="shared" si="57"/>
        <v>0</v>
      </c>
      <c r="Y342" s="7">
        <f t="shared" si="57"/>
        <v>118585</v>
      </c>
      <c r="Z342" s="7">
        <f t="shared" si="49"/>
        <v>118585</v>
      </c>
      <c r="AA342" s="20">
        <f t="shared" si="50"/>
        <v>0</v>
      </c>
    </row>
    <row r="343" spans="10:27" ht="12.75" hidden="1">
      <c r="J343" s="4">
        <f aca="true" t="shared" si="58" ref="J343:Y343">SUM(J261:J262)+SUM(J331:J332)</f>
        <v>0</v>
      </c>
      <c r="K343" s="4">
        <f t="shared" si="58"/>
        <v>0.667</v>
      </c>
      <c r="L343" s="4">
        <f t="shared" si="58"/>
        <v>0</v>
      </c>
      <c r="M343" s="4">
        <f t="shared" si="58"/>
        <v>0</v>
      </c>
      <c r="N343" s="5">
        <f t="shared" si="58"/>
        <v>40005</v>
      </c>
      <c r="O343" s="5">
        <f t="shared" si="58"/>
        <v>0</v>
      </c>
      <c r="P343" s="5">
        <f t="shared" si="58"/>
        <v>5000</v>
      </c>
      <c r="Q343" s="5">
        <f t="shared" si="58"/>
        <v>7647</v>
      </c>
      <c r="R343" s="5">
        <f t="shared" si="58"/>
        <v>0</v>
      </c>
      <c r="S343" s="5">
        <f t="shared" si="58"/>
        <v>0</v>
      </c>
      <c r="T343" s="5">
        <f t="shared" si="58"/>
        <v>52652</v>
      </c>
      <c r="U343" s="5">
        <f t="shared" si="58"/>
        <v>36287</v>
      </c>
      <c r="V343" s="5">
        <f t="shared" si="58"/>
        <v>0</v>
      </c>
      <c r="W343" s="5">
        <f t="shared" si="58"/>
        <v>0</v>
      </c>
      <c r="X343" s="5">
        <f t="shared" si="58"/>
        <v>0</v>
      </c>
      <c r="Y343" s="5">
        <f t="shared" si="58"/>
        <v>88939</v>
      </c>
      <c r="Z343" s="5">
        <f t="shared" si="49"/>
        <v>88939</v>
      </c>
      <c r="AA343" s="20">
        <f t="shared" si="50"/>
        <v>0</v>
      </c>
    </row>
    <row r="344" spans="9:27" ht="12.75">
      <c r="I344" s="3" t="s">
        <v>170</v>
      </c>
      <c r="J344" s="4">
        <f>SUM(J337:J338)+(J340)+(J342)</f>
        <v>0.501</v>
      </c>
      <c r="K344" s="4">
        <f aca="true" t="shared" si="59" ref="K344:Y344">SUM(K337:K338)+(K340)+(K342)</f>
        <v>46.316</v>
      </c>
      <c r="L344" s="4">
        <f t="shared" si="59"/>
        <v>38.492999999999995</v>
      </c>
      <c r="M344" s="4">
        <f t="shared" si="59"/>
        <v>9.805</v>
      </c>
      <c r="N344" s="5">
        <f t="shared" si="59"/>
        <v>4002600</v>
      </c>
      <c r="O344" s="5">
        <v>0</v>
      </c>
      <c r="P344" s="5">
        <f t="shared" si="59"/>
        <v>307383</v>
      </c>
      <c r="Q344" s="5">
        <f t="shared" si="59"/>
        <v>203675</v>
      </c>
      <c r="R344" s="5">
        <v>0</v>
      </c>
      <c r="S344" s="5">
        <f t="shared" si="59"/>
        <v>0</v>
      </c>
      <c r="T344" s="5">
        <f t="shared" si="59"/>
        <v>4513658</v>
      </c>
      <c r="U344" s="5">
        <f t="shared" si="59"/>
        <v>693840</v>
      </c>
      <c r="V344" s="5">
        <v>0</v>
      </c>
      <c r="W344" s="5">
        <v>0</v>
      </c>
      <c r="X344" s="5">
        <v>0</v>
      </c>
      <c r="Y344" s="5">
        <f t="shared" si="59"/>
        <v>5207498</v>
      </c>
      <c r="Z344" s="5">
        <f t="shared" si="49"/>
        <v>5207498</v>
      </c>
      <c r="AA344" s="20">
        <f t="shared" si="50"/>
        <v>0</v>
      </c>
    </row>
    <row r="345" spans="10:28" ht="12.75">
      <c r="J345" s="4" t="s">
        <v>2540</v>
      </c>
      <c r="K345" s="4" t="s">
        <v>2540</v>
      </c>
      <c r="L345" s="4" t="s">
        <v>2540</v>
      </c>
      <c r="M345" s="4" t="s">
        <v>2540</v>
      </c>
      <c r="N345" s="5" t="s">
        <v>2540</v>
      </c>
      <c r="O345" s="5" t="s">
        <v>2540</v>
      </c>
      <c r="P345" s="5" t="s">
        <v>2540</v>
      </c>
      <c r="Q345" s="5" t="s">
        <v>2540</v>
      </c>
      <c r="R345" s="5" t="s">
        <v>2540</v>
      </c>
      <c r="S345" s="5">
        <f>-SUM(S263)+(S273)+(S283)+(S291)+(S300)+(S300)+(S309)+(S320)+(S333)+(S300)</f>
        <v>0</v>
      </c>
      <c r="T345" s="5" t="s">
        <v>2540</v>
      </c>
      <c r="U345" s="5" t="s">
        <v>2540</v>
      </c>
      <c r="V345" s="5" t="s">
        <v>2540</v>
      </c>
      <c r="W345" s="5" t="s">
        <v>2540</v>
      </c>
      <c r="X345" s="5" t="s">
        <v>2540</v>
      </c>
      <c r="Y345" s="5" t="s">
        <v>2540</v>
      </c>
      <c r="Z345" s="5" t="s">
        <v>2540</v>
      </c>
      <c r="AA345" s="20" t="s">
        <v>2540</v>
      </c>
      <c r="AB345" s="3" t="s">
        <v>2540</v>
      </c>
    </row>
    <row r="346" spans="9:27" ht="12.75">
      <c r="I346" s="3" t="s">
        <v>171</v>
      </c>
      <c r="J346" s="4">
        <f>SUM(J226:J237)+(J247)+(J344)</f>
        <v>2.834</v>
      </c>
      <c r="K346" s="4">
        <f aca="true" t="shared" si="60" ref="K346:Y346">SUM(K226:K237)+(K247)+(K344)</f>
        <v>47.284000000000006</v>
      </c>
      <c r="L346" s="4">
        <f t="shared" si="60"/>
        <v>77.161</v>
      </c>
      <c r="M346" s="4">
        <f t="shared" si="60"/>
        <v>12.555</v>
      </c>
      <c r="N346" s="5">
        <f t="shared" si="60"/>
        <v>5496107</v>
      </c>
      <c r="O346" s="5">
        <f t="shared" si="60"/>
        <v>45075</v>
      </c>
      <c r="P346" s="5">
        <f t="shared" si="60"/>
        <v>355698</v>
      </c>
      <c r="Q346" s="5">
        <f t="shared" si="60"/>
        <v>276638</v>
      </c>
      <c r="R346" s="5">
        <f t="shared" si="60"/>
        <v>1702080</v>
      </c>
      <c r="S346" s="5">
        <f t="shared" si="60"/>
        <v>0</v>
      </c>
      <c r="T346" s="5">
        <f t="shared" si="60"/>
        <v>7875598</v>
      </c>
      <c r="U346" s="5">
        <f t="shared" si="60"/>
        <v>1064395</v>
      </c>
      <c r="V346" s="5">
        <f>SUM(V226:V237)+(V247)</f>
        <v>60112</v>
      </c>
      <c r="W346" s="5">
        <f>SUM(W226:W237)+(W247)+(W344)</f>
        <v>0</v>
      </c>
      <c r="X346" s="5">
        <f>SUM(X226:X237)+(X247)+(X344)</f>
        <v>5000</v>
      </c>
      <c r="Y346" s="5">
        <f t="shared" si="60"/>
        <v>9005105</v>
      </c>
      <c r="Z346" s="5">
        <f t="shared" si="49"/>
        <v>9005105</v>
      </c>
      <c r="AA346" s="20">
        <f t="shared" si="50"/>
        <v>0</v>
      </c>
    </row>
    <row r="347" spans="10:27" ht="12.75">
      <c r="J347" s="4"/>
      <c r="K347" s="4"/>
      <c r="L347" s="4"/>
      <c r="M347" s="4"/>
      <c r="N347" s="5"/>
      <c r="O347" s="5"/>
      <c r="P347" s="5"/>
      <c r="Q347" s="5"/>
      <c r="R347" s="5"/>
      <c r="S347" s="5"/>
      <c r="T347" s="5" t="s">
        <v>2540</v>
      </c>
      <c r="U347" s="5"/>
      <c r="V347" s="5"/>
      <c r="W347" s="5"/>
      <c r="X347" s="5"/>
      <c r="Y347" s="5"/>
      <c r="Z347" s="5" t="s">
        <v>2540</v>
      </c>
      <c r="AA347" s="20" t="s">
        <v>2540</v>
      </c>
    </row>
    <row r="348" spans="9:27" ht="12.75">
      <c r="I348" s="3" t="s">
        <v>2465</v>
      </c>
      <c r="J348" s="4"/>
      <c r="K348" s="4"/>
      <c r="L348" s="4"/>
      <c r="M348" s="4"/>
      <c r="N348" s="5"/>
      <c r="O348" s="5"/>
      <c r="P348" s="5"/>
      <c r="Q348" s="5"/>
      <c r="R348" s="5"/>
      <c r="S348" s="5"/>
      <c r="T348" s="5" t="s">
        <v>2540</v>
      </c>
      <c r="U348" s="5"/>
      <c r="V348" s="5"/>
      <c r="W348" s="5"/>
      <c r="X348" s="5"/>
      <c r="Y348" s="5"/>
      <c r="Z348" s="5" t="s">
        <v>2540</v>
      </c>
      <c r="AA348" s="20" t="s">
        <v>2540</v>
      </c>
    </row>
    <row r="349" spans="10:27" ht="12.75">
      <c r="J349" s="4"/>
      <c r="K349" s="4"/>
      <c r="L349" s="4"/>
      <c r="M349" s="4"/>
      <c r="N349" s="5"/>
      <c r="O349" s="5"/>
      <c r="P349" s="5"/>
      <c r="Q349" s="5"/>
      <c r="R349" s="5"/>
      <c r="S349" s="5"/>
      <c r="T349" s="5" t="s">
        <v>2540</v>
      </c>
      <c r="U349" s="5"/>
      <c r="V349" s="5"/>
      <c r="W349" s="5"/>
      <c r="X349" s="5"/>
      <c r="Y349" s="5"/>
      <c r="Z349" s="5" t="s">
        <v>2540</v>
      </c>
      <c r="AA349" s="20" t="s">
        <v>2540</v>
      </c>
    </row>
    <row r="350" spans="1:27" ht="12.75">
      <c r="A350" s="3" t="s">
        <v>1668</v>
      </c>
      <c r="B350" s="3" t="s">
        <v>2464</v>
      </c>
      <c r="C350" s="3" t="s">
        <v>2465</v>
      </c>
      <c r="D350" s="3" t="s">
        <v>2466</v>
      </c>
      <c r="E350" s="3" t="s">
        <v>1589</v>
      </c>
      <c r="F350" s="3" t="s">
        <v>2468</v>
      </c>
      <c r="G350" s="3" t="s">
        <v>1591</v>
      </c>
      <c r="H350" s="3" t="s">
        <v>1592</v>
      </c>
      <c r="I350" s="3" t="s">
        <v>919</v>
      </c>
      <c r="J350" s="4">
        <v>0</v>
      </c>
      <c r="K350" s="4">
        <v>0</v>
      </c>
      <c r="L350" s="4">
        <v>0</v>
      </c>
      <c r="M350" s="4">
        <v>0</v>
      </c>
      <c r="N350" s="5">
        <v>0</v>
      </c>
      <c r="O350" s="5">
        <v>0</v>
      </c>
      <c r="P350" s="5">
        <v>0</v>
      </c>
      <c r="Q350" s="5">
        <v>0</v>
      </c>
      <c r="R350" s="5">
        <f>1177238-45545</f>
        <v>1131693</v>
      </c>
      <c r="S350" s="5">
        <v>0</v>
      </c>
      <c r="T350" s="5">
        <f t="shared" si="48"/>
        <v>1131693</v>
      </c>
      <c r="U350" s="5">
        <f aca="true" t="shared" si="61" ref="U350:U355">SUM(S350:S350)</f>
        <v>0</v>
      </c>
      <c r="V350" s="5">
        <v>0</v>
      </c>
      <c r="W350" s="5">
        <v>0</v>
      </c>
      <c r="X350" s="5">
        <v>0</v>
      </c>
      <c r="Y350" s="5">
        <v>1131693</v>
      </c>
      <c r="Z350" s="5">
        <f t="shared" si="49"/>
        <v>1131693</v>
      </c>
      <c r="AA350" s="20">
        <f t="shared" si="50"/>
        <v>0</v>
      </c>
    </row>
    <row r="351" spans="1:27" ht="12.75">
      <c r="A351" s="3" t="s">
        <v>1668</v>
      </c>
      <c r="B351" s="3" t="s">
        <v>2464</v>
      </c>
      <c r="C351" s="3" t="s">
        <v>2465</v>
      </c>
      <c r="D351" s="3" t="s">
        <v>2469</v>
      </c>
      <c r="E351" s="3" t="s">
        <v>1589</v>
      </c>
      <c r="F351" s="3" t="s">
        <v>2471</v>
      </c>
      <c r="G351" s="3" t="s">
        <v>1591</v>
      </c>
      <c r="H351" s="3" t="s">
        <v>1592</v>
      </c>
      <c r="I351" s="3" t="s">
        <v>920</v>
      </c>
      <c r="J351" s="4">
        <v>0</v>
      </c>
      <c r="K351" s="4">
        <v>0</v>
      </c>
      <c r="L351" s="4">
        <v>0</v>
      </c>
      <c r="M351" s="4">
        <v>0</v>
      </c>
      <c r="N351" s="5">
        <v>0</v>
      </c>
      <c r="O351" s="5">
        <v>0</v>
      </c>
      <c r="P351" s="5">
        <v>0</v>
      </c>
      <c r="Q351" s="5">
        <v>0</v>
      </c>
      <c r="R351" s="5">
        <v>30694</v>
      </c>
      <c r="S351" s="5">
        <v>0</v>
      </c>
      <c r="T351" s="5">
        <f t="shared" si="48"/>
        <v>30694</v>
      </c>
      <c r="U351" s="5">
        <f t="shared" si="61"/>
        <v>0</v>
      </c>
      <c r="V351" s="5">
        <v>0</v>
      </c>
      <c r="W351" s="5">
        <v>0</v>
      </c>
      <c r="X351" s="5">
        <v>0</v>
      </c>
      <c r="Y351" s="5">
        <v>30694</v>
      </c>
      <c r="Z351" s="5">
        <f t="shared" si="49"/>
        <v>30694</v>
      </c>
      <c r="AA351" s="20">
        <f t="shared" si="50"/>
        <v>0</v>
      </c>
    </row>
    <row r="352" spans="1:27" ht="12.75">
      <c r="A352" s="3" t="s">
        <v>1668</v>
      </c>
      <c r="B352" s="3" t="s">
        <v>2464</v>
      </c>
      <c r="C352" s="3" t="s">
        <v>2465</v>
      </c>
      <c r="D352" s="3" t="s">
        <v>2472</v>
      </c>
      <c r="E352" s="3" t="s">
        <v>1589</v>
      </c>
      <c r="F352" s="3" t="s">
        <v>2474</v>
      </c>
      <c r="G352" s="3" t="s">
        <v>1591</v>
      </c>
      <c r="H352" s="3" t="s">
        <v>1592</v>
      </c>
      <c r="I352" s="3" t="s">
        <v>2473</v>
      </c>
      <c r="J352" s="4">
        <v>0</v>
      </c>
      <c r="K352" s="4">
        <v>0</v>
      </c>
      <c r="L352" s="4">
        <v>0</v>
      </c>
      <c r="M352" s="4">
        <v>0</v>
      </c>
      <c r="N352" s="5">
        <v>0</v>
      </c>
      <c r="O352" s="5">
        <v>45545</v>
      </c>
      <c r="P352" s="5">
        <v>0</v>
      </c>
      <c r="Q352" s="5">
        <v>0</v>
      </c>
      <c r="R352" s="5">
        <v>4500</v>
      </c>
      <c r="S352" s="5">
        <v>0</v>
      </c>
      <c r="T352" s="5">
        <f t="shared" si="48"/>
        <v>50045</v>
      </c>
      <c r="U352" s="5">
        <f t="shared" si="61"/>
        <v>0</v>
      </c>
      <c r="V352" s="5">
        <v>0</v>
      </c>
      <c r="W352" s="5">
        <v>0</v>
      </c>
      <c r="X352" s="5">
        <v>0</v>
      </c>
      <c r="Y352" s="5">
        <v>50045</v>
      </c>
      <c r="Z352" s="5">
        <f t="shared" si="49"/>
        <v>50045</v>
      </c>
      <c r="AA352" s="20">
        <f t="shared" si="50"/>
        <v>0</v>
      </c>
    </row>
    <row r="353" spans="1:27" ht="12.75">
      <c r="A353" s="3" t="s">
        <v>1751</v>
      </c>
      <c r="B353" s="3" t="s">
        <v>2464</v>
      </c>
      <c r="C353" s="3" t="s">
        <v>2465</v>
      </c>
      <c r="D353" s="3" t="s">
        <v>2475</v>
      </c>
      <c r="E353" s="3" t="s">
        <v>1589</v>
      </c>
      <c r="F353" s="3" t="s">
        <v>2477</v>
      </c>
      <c r="G353" s="3" t="s">
        <v>1591</v>
      </c>
      <c r="H353" s="3" t="s">
        <v>1592</v>
      </c>
      <c r="I353" s="3" t="s">
        <v>2476</v>
      </c>
      <c r="J353" s="4">
        <v>0</v>
      </c>
      <c r="K353" s="4">
        <v>0</v>
      </c>
      <c r="L353" s="4">
        <v>2</v>
      </c>
      <c r="M353" s="4">
        <v>0</v>
      </c>
      <c r="N353" s="5">
        <v>46380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f t="shared" si="48"/>
        <v>46380</v>
      </c>
      <c r="U353" s="5">
        <v>15454</v>
      </c>
      <c r="V353" s="5">
        <v>0</v>
      </c>
      <c r="W353" s="5">
        <v>0</v>
      </c>
      <c r="X353" s="5">
        <v>0</v>
      </c>
      <c r="Y353" s="5">
        <v>61834</v>
      </c>
      <c r="Z353" s="5">
        <f t="shared" si="49"/>
        <v>61834</v>
      </c>
      <c r="AA353" s="20">
        <f t="shared" si="50"/>
        <v>0</v>
      </c>
    </row>
    <row r="354" spans="1:27" ht="12.75">
      <c r="A354" s="3" t="s">
        <v>1584</v>
      </c>
      <c r="B354" s="3" t="s">
        <v>2464</v>
      </c>
      <c r="C354" s="3" t="s">
        <v>2465</v>
      </c>
      <c r="D354" s="3" t="s">
        <v>2478</v>
      </c>
      <c r="E354" s="3" t="s">
        <v>1589</v>
      </c>
      <c r="F354" s="3" t="s">
        <v>2480</v>
      </c>
      <c r="G354" s="3" t="s">
        <v>1591</v>
      </c>
      <c r="H354" s="3" t="s">
        <v>1592</v>
      </c>
      <c r="I354" s="3" t="s">
        <v>921</v>
      </c>
      <c r="J354" s="4">
        <v>0</v>
      </c>
      <c r="K354" s="4">
        <v>0</v>
      </c>
      <c r="L354" s="4">
        <v>0</v>
      </c>
      <c r="M354" s="4">
        <v>0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f t="shared" si="48"/>
        <v>0</v>
      </c>
      <c r="U354" s="5">
        <v>4950</v>
      </c>
      <c r="V354" s="5">
        <v>0</v>
      </c>
      <c r="W354" s="5">
        <v>0</v>
      </c>
      <c r="X354" s="5">
        <v>0</v>
      </c>
      <c r="Y354" s="5">
        <v>4950</v>
      </c>
      <c r="Z354" s="5">
        <f t="shared" si="49"/>
        <v>4950</v>
      </c>
      <c r="AA354" s="20">
        <f t="shared" si="50"/>
        <v>0</v>
      </c>
    </row>
    <row r="355" spans="1:27" ht="12.75">
      <c r="A355" s="3" t="s">
        <v>1968</v>
      </c>
      <c r="B355" s="3" t="s">
        <v>2464</v>
      </c>
      <c r="C355" s="3" t="s">
        <v>2465</v>
      </c>
      <c r="D355" s="3" t="s">
        <v>2481</v>
      </c>
      <c r="E355" s="3" t="s">
        <v>1589</v>
      </c>
      <c r="F355" s="3" t="s">
        <v>2483</v>
      </c>
      <c r="G355" s="3" t="s">
        <v>1591</v>
      </c>
      <c r="H355" s="3" t="s">
        <v>1592</v>
      </c>
      <c r="I355" s="3" t="s">
        <v>2482</v>
      </c>
      <c r="J355" s="4">
        <v>0</v>
      </c>
      <c r="K355" s="4">
        <v>0</v>
      </c>
      <c r="L355" s="4">
        <v>8.922</v>
      </c>
      <c r="M355" s="4">
        <v>0</v>
      </c>
      <c r="N355" s="5">
        <v>250308</v>
      </c>
      <c r="O355" s="5">
        <v>0</v>
      </c>
      <c r="P355" s="5">
        <v>8793</v>
      </c>
      <c r="Q355" s="5">
        <v>0</v>
      </c>
      <c r="R355" s="5">
        <v>0</v>
      </c>
      <c r="S355" s="5">
        <v>0</v>
      </c>
      <c r="T355" s="5">
        <f t="shared" si="48"/>
        <v>259101</v>
      </c>
      <c r="U355" s="5">
        <f t="shared" si="61"/>
        <v>0</v>
      </c>
      <c r="V355" s="5">
        <v>0</v>
      </c>
      <c r="W355" s="5">
        <v>0</v>
      </c>
      <c r="X355" s="5">
        <v>0</v>
      </c>
      <c r="Y355" s="5">
        <v>259101</v>
      </c>
      <c r="Z355" s="5">
        <f t="shared" si="49"/>
        <v>259101</v>
      </c>
      <c r="AA355" s="20">
        <f t="shared" si="50"/>
        <v>0</v>
      </c>
    </row>
    <row r="356" spans="10:27" ht="12.75">
      <c r="J356" s="4"/>
      <c r="K356" s="4"/>
      <c r="L356" s="4"/>
      <c r="M356" s="4"/>
      <c r="N356" s="5"/>
      <c r="O356" s="5"/>
      <c r="P356" s="5"/>
      <c r="Q356" s="5"/>
      <c r="R356" s="5"/>
      <c r="S356" s="5"/>
      <c r="T356" s="5" t="s">
        <v>2540</v>
      </c>
      <c r="U356" s="5"/>
      <c r="V356" s="5"/>
      <c r="W356" s="5"/>
      <c r="X356" s="5"/>
      <c r="Y356" s="5"/>
      <c r="Z356" s="5" t="s">
        <v>2540</v>
      </c>
      <c r="AA356" s="20" t="s">
        <v>2540</v>
      </c>
    </row>
    <row r="357" spans="9:27" ht="12.75">
      <c r="I357" s="3" t="s">
        <v>172</v>
      </c>
      <c r="J357" s="4"/>
      <c r="K357" s="4"/>
      <c r="L357" s="4"/>
      <c r="M357" s="4"/>
      <c r="N357" s="5"/>
      <c r="O357" s="5"/>
      <c r="P357" s="5"/>
      <c r="Q357" s="5"/>
      <c r="R357" s="5"/>
      <c r="S357" s="5"/>
      <c r="T357" s="5" t="s">
        <v>2540</v>
      </c>
      <c r="U357" s="5"/>
      <c r="V357" s="5"/>
      <c r="W357" s="5"/>
      <c r="X357" s="5"/>
      <c r="Y357" s="5"/>
      <c r="Z357" s="5" t="s">
        <v>2540</v>
      </c>
      <c r="AA357" s="20" t="s">
        <v>2540</v>
      </c>
    </row>
    <row r="358" spans="10:27" ht="12.75">
      <c r="J358" s="4"/>
      <c r="K358" s="4"/>
      <c r="L358" s="4"/>
      <c r="M358" s="4"/>
      <c r="N358" s="5"/>
      <c r="O358" s="5"/>
      <c r="P358" s="5"/>
      <c r="Q358" s="5"/>
      <c r="R358" s="5"/>
      <c r="S358" s="5"/>
      <c r="T358" s="5" t="s">
        <v>2540</v>
      </c>
      <c r="U358" s="5"/>
      <c r="V358" s="5"/>
      <c r="W358" s="5"/>
      <c r="X358" s="5"/>
      <c r="Y358" s="5"/>
      <c r="Z358" s="5" t="s">
        <v>2540</v>
      </c>
      <c r="AA358" s="20" t="s">
        <v>2540</v>
      </c>
    </row>
    <row r="359" spans="1:27" ht="12.75">
      <c r="A359" s="3" t="s">
        <v>1699</v>
      </c>
      <c r="B359" s="3" t="s">
        <v>2464</v>
      </c>
      <c r="C359" s="3" t="s">
        <v>2465</v>
      </c>
      <c r="D359" s="3" t="s">
        <v>2484</v>
      </c>
      <c r="E359" s="3" t="s">
        <v>1589</v>
      </c>
      <c r="F359" s="3" t="s">
        <v>2486</v>
      </c>
      <c r="G359" s="3" t="s">
        <v>1591</v>
      </c>
      <c r="H359" s="3" t="s">
        <v>1592</v>
      </c>
      <c r="I359" s="3" t="s">
        <v>2485</v>
      </c>
      <c r="J359" s="4">
        <v>1.333</v>
      </c>
      <c r="K359" s="4">
        <v>0.333</v>
      </c>
      <c r="L359" s="4">
        <v>16.904000000000003</v>
      </c>
      <c r="M359" s="4">
        <v>37.338</v>
      </c>
      <c r="N359" s="5">
        <v>2016551</v>
      </c>
      <c r="O359" s="5">
        <v>0</v>
      </c>
      <c r="P359" s="5">
        <v>9549</v>
      </c>
      <c r="Q359" s="5">
        <v>0</v>
      </c>
      <c r="R359" s="5">
        <v>0</v>
      </c>
      <c r="S359" s="5">
        <v>0</v>
      </c>
      <c r="T359" s="5">
        <f t="shared" si="48"/>
        <v>2026100</v>
      </c>
      <c r="U359" s="5">
        <f aca="true" t="shared" si="62" ref="U359:U378">SUM(S359:S359)</f>
        <v>0</v>
      </c>
      <c r="V359" s="5">
        <v>0</v>
      </c>
      <c r="W359" s="5">
        <v>0</v>
      </c>
      <c r="X359" s="5">
        <v>0</v>
      </c>
      <c r="Y359" s="5">
        <v>2026100</v>
      </c>
      <c r="Z359" s="5">
        <f t="shared" si="49"/>
        <v>2026100</v>
      </c>
      <c r="AA359" s="20">
        <f t="shared" si="50"/>
        <v>0</v>
      </c>
    </row>
    <row r="360" spans="1:27" ht="12.75">
      <c r="A360" s="3" t="s">
        <v>1699</v>
      </c>
      <c r="B360" s="3" t="s">
        <v>2464</v>
      </c>
      <c r="C360" s="3" t="s">
        <v>2465</v>
      </c>
      <c r="D360" s="3" t="s">
        <v>2487</v>
      </c>
      <c r="E360" s="3" t="s">
        <v>1589</v>
      </c>
      <c r="F360" s="3" t="s">
        <v>2489</v>
      </c>
      <c r="G360" s="3" t="s">
        <v>1591</v>
      </c>
      <c r="H360" s="3" t="s">
        <v>1592</v>
      </c>
      <c r="I360" s="3" t="s">
        <v>923</v>
      </c>
      <c r="J360" s="4">
        <v>0</v>
      </c>
      <c r="K360" s="4">
        <v>0</v>
      </c>
      <c r="L360" s="4">
        <v>0</v>
      </c>
      <c r="M360" s="4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f t="shared" si="48"/>
        <v>0</v>
      </c>
      <c r="U360" s="5">
        <v>10999</v>
      </c>
      <c r="V360" s="5">
        <v>0</v>
      </c>
      <c r="W360" s="5">
        <v>0</v>
      </c>
      <c r="X360" s="5">
        <v>0</v>
      </c>
      <c r="Y360" s="5">
        <v>10999</v>
      </c>
      <c r="Z360" s="5">
        <f t="shared" si="49"/>
        <v>10999</v>
      </c>
      <c r="AA360" s="20">
        <f t="shared" si="50"/>
        <v>0</v>
      </c>
    </row>
    <row r="361" spans="1:27" ht="12.75">
      <c r="A361" s="3" t="s">
        <v>1699</v>
      </c>
      <c r="B361" s="3" t="s">
        <v>2464</v>
      </c>
      <c r="C361" s="3" t="s">
        <v>2465</v>
      </c>
      <c r="D361" s="3" t="s">
        <v>2490</v>
      </c>
      <c r="E361" s="3" t="s">
        <v>1589</v>
      </c>
      <c r="F361" s="3" t="s">
        <v>2492</v>
      </c>
      <c r="G361" s="3" t="s">
        <v>1591</v>
      </c>
      <c r="H361" s="3" t="s">
        <v>1592</v>
      </c>
      <c r="I361" s="3" t="s">
        <v>2491</v>
      </c>
      <c r="J361" s="4">
        <v>0</v>
      </c>
      <c r="K361" s="4">
        <v>0</v>
      </c>
      <c r="L361" s="4">
        <v>0</v>
      </c>
      <c r="M361" s="4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f t="shared" si="48"/>
        <v>0</v>
      </c>
      <c r="U361" s="5">
        <v>11672</v>
      </c>
      <c r="V361" s="5">
        <v>0</v>
      </c>
      <c r="W361" s="5">
        <v>0</v>
      </c>
      <c r="X361" s="5">
        <v>0</v>
      </c>
      <c r="Y361" s="5">
        <v>11672</v>
      </c>
      <c r="Z361" s="5">
        <f t="shared" si="49"/>
        <v>11672</v>
      </c>
      <c r="AA361" s="20">
        <f t="shared" si="50"/>
        <v>0</v>
      </c>
    </row>
    <row r="362" spans="1:27" ht="12.75">
      <c r="A362" s="3" t="s">
        <v>1699</v>
      </c>
      <c r="B362" s="3" t="s">
        <v>2464</v>
      </c>
      <c r="C362" s="3" t="s">
        <v>2465</v>
      </c>
      <c r="D362" s="3" t="s">
        <v>2493</v>
      </c>
      <c r="E362" s="3" t="s">
        <v>1589</v>
      </c>
      <c r="F362" s="3" t="s">
        <v>2495</v>
      </c>
      <c r="G362" s="3" t="s">
        <v>1591</v>
      </c>
      <c r="H362" s="3" t="s">
        <v>1592</v>
      </c>
      <c r="I362" s="3" t="s">
        <v>922</v>
      </c>
      <c r="J362" s="4">
        <v>0</v>
      </c>
      <c r="K362" s="4">
        <v>0</v>
      </c>
      <c r="L362" s="4">
        <v>0</v>
      </c>
      <c r="M362" s="4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f t="shared" si="48"/>
        <v>0</v>
      </c>
      <c r="U362" s="5">
        <v>8336</v>
      </c>
      <c r="V362" s="5">
        <v>0</v>
      </c>
      <c r="W362" s="5">
        <v>0</v>
      </c>
      <c r="X362" s="5">
        <v>0</v>
      </c>
      <c r="Y362" s="5">
        <v>8336</v>
      </c>
      <c r="Z362" s="5">
        <f t="shared" si="49"/>
        <v>8336</v>
      </c>
      <c r="AA362" s="20">
        <f t="shared" si="50"/>
        <v>0</v>
      </c>
    </row>
    <row r="363" spans="1:27" ht="12.75">
      <c r="A363" s="3" t="s">
        <v>1699</v>
      </c>
      <c r="B363" s="3" t="s">
        <v>2464</v>
      </c>
      <c r="C363" s="3" t="s">
        <v>2465</v>
      </c>
      <c r="D363" s="3" t="s">
        <v>2496</v>
      </c>
      <c r="E363" s="3" t="s">
        <v>1589</v>
      </c>
      <c r="F363" s="3" t="s">
        <v>2498</v>
      </c>
      <c r="G363" s="3" t="s">
        <v>1591</v>
      </c>
      <c r="H363" s="3" t="s">
        <v>1592</v>
      </c>
      <c r="I363" s="3" t="s">
        <v>2497</v>
      </c>
      <c r="J363" s="4">
        <v>0</v>
      </c>
      <c r="K363" s="4">
        <v>0</v>
      </c>
      <c r="L363" s="4">
        <v>0</v>
      </c>
      <c r="M363" s="4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f t="shared" si="48"/>
        <v>0</v>
      </c>
      <c r="U363" s="5">
        <v>1336</v>
      </c>
      <c r="V363" s="5">
        <v>0</v>
      </c>
      <c r="W363" s="5">
        <v>0</v>
      </c>
      <c r="X363" s="5">
        <v>0</v>
      </c>
      <c r="Y363" s="5">
        <v>1336</v>
      </c>
      <c r="Z363" s="5">
        <f t="shared" si="49"/>
        <v>1336</v>
      </c>
      <c r="AA363" s="20">
        <f t="shared" si="50"/>
        <v>0</v>
      </c>
    </row>
    <row r="364" spans="1:27" ht="12.75">
      <c r="A364" s="3" t="s">
        <v>1699</v>
      </c>
      <c r="B364" s="3" t="s">
        <v>2464</v>
      </c>
      <c r="C364" s="3" t="s">
        <v>2465</v>
      </c>
      <c r="D364" s="3" t="s">
        <v>2499</v>
      </c>
      <c r="E364" s="3" t="s">
        <v>1589</v>
      </c>
      <c r="F364" s="3" t="s">
        <v>2501</v>
      </c>
      <c r="G364" s="3" t="s">
        <v>1591</v>
      </c>
      <c r="H364" s="3" t="s">
        <v>1592</v>
      </c>
      <c r="I364" s="3" t="s">
        <v>2500</v>
      </c>
      <c r="J364" s="4">
        <v>0</v>
      </c>
      <c r="K364" s="4">
        <v>0</v>
      </c>
      <c r="L364" s="4">
        <v>0</v>
      </c>
      <c r="M364" s="4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f t="shared" si="48"/>
        <v>0</v>
      </c>
      <c r="U364" s="5">
        <v>13340</v>
      </c>
      <c r="V364" s="5">
        <v>0</v>
      </c>
      <c r="W364" s="5">
        <v>0</v>
      </c>
      <c r="X364" s="5">
        <v>0</v>
      </c>
      <c r="Y364" s="5">
        <v>13340</v>
      </c>
      <c r="Z364" s="5">
        <f t="shared" si="49"/>
        <v>13340</v>
      </c>
      <c r="AA364" s="20">
        <f t="shared" si="50"/>
        <v>0</v>
      </c>
    </row>
    <row r="365" spans="1:27" ht="12.75">
      <c r="A365" s="3" t="s">
        <v>1699</v>
      </c>
      <c r="B365" s="3" t="s">
        <v>2464</v>
      </c>
      <c r="C365" s="3" t="s">
        <v>2465</v>
      </c>
      <c r="D365" s="3" t="s">
        <v>2502</v>
      </c>
      <c r="E365" s="3" t="s">
        <v>1589</v>
      </c>
      <c r="F365" s="3" t="s">
        <v>2504</v>
      </c>
      <c r="G365" s="3" t="s">
        <v>1591</v>
      </c>
      <c r="H365" s="3" t="s">
        <v>1592</v>
      </c>
      <c r="I365" s="3" t="s">
        <v>2503</v>
      </c>
      <c r="J365" s="4">
        <v>0</v>
      </c>
      <c r="K365" s="4">
        <v>0</v>
      </c>
      <c r="L365" s="4">
        <v>0</v>
      </c>
      <c r="M365" s="4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f t="shared" si="48"/>
        <v>0</v>
      </c>
      <c r="U365" s="5">
        <v>8672</v>
      </c>
      <c r="V365" s="5">
        <v>0</v>
      </c>
      <c r="W365" s="5">
        <v>0</v>
      </c>
      <c r="X365" s="5">
        <v>0</v>
      </c>
      <c r="Y365" s="5">
        <v>8672</v>
      </c>
      <c r="Z365" s="5">
        <f t="shared" si="49"/>
        <v>8672</v>
      </c>
      <c r="AA365" s="20">
        <f t="shared" si="50"/>
        <v>0</v>
      </c>
    </row>
    <row r="366" spans="1:27" ht="12.75">
      <c r="A366" s="3" t="s">
        <v>1699</v>
      </c>
      <c r="B366" s="3" t="s">
        <v>2464</v>
      </c>
      <c r="C366" s="3" t="s">
        <v>2465</v>
      </c>
      <c r="D366" s="3" t="s">
        <v>2505</v>
      </c>
      <c r="E366" s="3" t="s">
        <v>1589</v>
      </c>
      <c r="F366" s="3" t="s">
        <v>2507</v>
      </c>
      <c r="G366" s="3" t="s">
        <v>1591</v>
      </c>
      <c r="H366" s="3" t="s">
        <v>1592</v>
      </c>
      <c r="I366" s="3" t="s">
        <v>924</v>
      </c>
      <c r="J366" s="4">
        <v>0</v>
      </c>
      <c r="K366" s="4">
        <v>0</v>
      </c>
      <c r="L366" s="4">
        <v>0</v>
      </c>
      <c r="M366" s="4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f t="shared" si="48"/>
        <v>0</v>
      </c>
      <c r="U366" s="5">
        <v>29302</v>
      </c>
      <c r="V366" s="5">
        <v>0</v>
      </c>
      <c r="W366" s="5">
        <v>0</v>
      </c>
      <c r="X366" s="5">
        <v>0</v>
      </c>
      <c r="Y366" s="5">
        <v>29302</v>
      </c>
      <c r="Z366" s="5">
        <f t="shared" si="49"/>
        <v>29302</v>
      </c>
      <c r="AA366" s="20">
        <f t="shared" si="50"/>
        <v>0</v>
      </c>
    </row>
    <row r="367" spans="1:27" ht="12.75">
      <c r="A367" s="3" t="s">
        <v>1699</v>
      </c>
      <c r="B367" s="3" t="s">
        <v>2464</v>
      </c>
      <c r="C367" s="3" t="s">
        <v>2465</v>
      </c>
      <c r="D367" s="3" t="s">
        <v>2508</v>
      </c>
      <c r="E367" s="3" t="s">
        <v>1589</v>
      </c>
      <c r="F367" s="3" t="s">
        <v>2510</v>
      </c>
      <c r="G367" s="3" t="s">
        <v>1591</v>
      </c>
      <c r="H367" s="3" t="s">
        <v>1592</v>
      </c>
      <c r="I367" s="3" t="s">
        <v>925</v>
      </c>
      <c r="J367" s="4">
        <v>0</v>
      </c>
      <c r="K367" s="4">
        <v>2.75</v>
      </c>
      <c r="L367" s="4">
        <v>1.617</v>
      </c>
      <c r="M367" s="4">
        <v>1.5</v>
      </c>
      <c r="N367" s="5">
        <v>248202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f t="shared" si="48"/>
        <v>248202</v>
      </c>
      <c r="U367" s="5">
        <f t="shared" si="62"/>
        <v>0</v>
      </c>
      <c r="V367" s="5">
        <v>0</v>
      </c>
      <c r="W367" s="5">
        <v>0</v>
      </c>
      <c r="X367" s="5">
        <v>0</v>
      </c>
      <c r="Y367" s="5">
        <v>248202</v>
      </c>
      <c r="Z367" s="5">
        <f t="shared" si="49"/>
        <v>248202</v>
      </c>
      <c r="AA367" s="20">
        <f t="shared" si="50"/>
        <v>0</v>
      </c>
    </row>
    <row r="368" spans="1:27" ht="12.75">
      <c r="A368" s="3" t="s">
        <v>1699</v>
      </c>
      <c r="B368" s="3" t="s">
        <v>2464</v>
      </c>
      <c r="C368" s="3" t="s">
        <v>2465</v>
      </c>
      <c r="D368" s="3" t="s">
        <v>2511</v>
      </c>
      <c r="E368" s="3" t="s">
        <v>1589</v>
      </c>
      <c r="F368" s="3" t="s">
        <v>2513</v>
      </c>
      <c r="G368" s="3" t="s">
        <v>1591</v>
      </c>
      <c r="H368" s="3" t="s">
        <v>1592</v>
      </c>
      <c r="I368" s="3" t="s">
        <v>2512</v>
      </c>
      <c r="J368" s="4">
        <v>0</v>
      </c>
      <c r="K368" s="4">
        <v>2.917</v>
      </c>
      <c r="L368" s="4">
        <v>0.167</v>
      </c>
      <c r="M368" s="4">
        <v>0</v>
      </c>
      <c r="N368" s="5">
        <v>171212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f t="shared" si="48"/>
        <v>171212</v>
      </c>
      <c r="U368" s="5">
        <f t="shared" si="62"/>
        <v>0</v>
      </c>
      <c r="V368" s="5">
        <v>0</v>
      </c>
      <c r="W368" s="5">
        <v>0</v>
      </c>
      <c r="X368" s="5">
        <v>0</v>
      </c>
      <c r="Y368" s="5">
        <v>171212</v>
      </c>
      <c r="Z368" s="5">
        <f t="shared" si="49"/>
        <v>171212</v>
      </c>
      <c r="AA368" s="20">
        <f t="shared" si="50"/>
        <v>0</v>
      </c>
    </row>
    <row r="369" spans="1:27" ht="12.75">
      <c r="A369" s="3" t="s">
        <v>1699</v>
      </c>
      <c r="B369" s="3" t="s">
        <v>2464</v>
      </c>
      <c r="C369" s="3" t="s">
        <v>2465</v>
      </c>
      <c r="D369" s="3" t="s">
        <v>2514</v>
      </c>
      <c r="E369" s="3" t="s">
        <v>1589</v>
      </c>
      <c r="F369" s="3" t="s">
        <v>2516</v>
      </c>
      <c r="G369" s="3" t="s">
        <v>1591</v>
      </c>
      <c r="H369" s="3" t="s">
        <v>1592</v>
      </c>
      <c r="I369" s="3" t="s">
        <v>2515</v>
      </c>
      <c r="J369" s="4">
        <v>0</v>
      </c>
      <c r="K369" s="4">
        <v>2.083</v>
      </c>
      <c r="L369" s="4">
        <v>0.75</v>
      </c>
      <c r="M369" s="4">
        <v>2</v>
      </c>
      <c r="N369" s="5">
        <v>224673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f t="shared" si="48"/>
        <v>224673</v>
      </c>
      <c r="U369" s="5">
        <f t="shared" si="62"/>
        <v>0</v>
      </c>
      <c r="V369" s="5">
        <v>0</v>
      </c>
      <c r="W369" s="5">
        <v>0</v>
      </c>
      <c r="X369" s="5">
        <v>0</v>
      </c>
      <c r="Y369" s="5">
        <v>224673</v>
      </c>
      <c r="Z369" s="5">
        <f t="shared" si="49"/>
        <v>224673</v>
      </c>
      <c r="AA369" s="20">
        <f t="shared" si="50"/>
        <v>0</v>
      </c>
    </row>
    <row r="370" spans="1:27" ht="12.75">
      <c r="A370" s="3" t="s">
        <v>1699</v>
      </c>
      <c r="B370" s="3" t="s">
        <v>2464</v>
      </c>
      <c r="C370" s="3" t="s">
        <v>2465</v>
      </c>
      <c r="D370" s="3" t="s">
        <v>2517</v>
      </c>
      <c r="E370" s="3" t="s">
        <v>1589</v>
      </c>
      <c r="F370" s="3" t="s">
        <v>2518</v>
      </c>
      <c r="G370" s="3" t="s">
        <v>1591</v>
      </c>
      <c r="H370" s="3" t="s">
        <v>1592</v>
      </c>
      <c r="I370" s="3" t="s">
        <v>2497</v>
      </c>
      <c r="J370" s="4">
        <v>0</v>
      </c>
      <c r="K370" s="4">
        <v>0.667</v>
      </c>
      <c r="L370" s="4">
        <v>0</v>
      </c>
      <c r="M370" s="4">
        <v>0</v>
      </c>
      <c r="N370" s="5">
        <v>61672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f t="shared" si="48"/>
        <v>61672</v>
      </c>
      <c r="U370" s="5">
        <f t="shared" si="62"/>
        <v>0</v>
      </c>
      <c r="V370" s="5">
        <v>0</v>
      </c>
      <c r="W370" s="5">
        <v>0</v>
      </c>
      <c r="X370" s="5">
        <v>0</v>
      </c>
      <c r="Y370" s="5">
        <v>61672</v>
      </c>
      <c r="Z370" s="5">
        <f t="shared" si="49"/>
        <v>61672</v>
      </c>
      <c r="AA370" s="20">
        <f t="shared" si="50"/>
        <v>0</v>
      </c>
    </row>
    <row r="371" spans="1:27" ht="12.75">
      <c r="A371" s="3" t="s">
        <v>1699</v>
      </c>
      <c r="B371" s="3" t="s">
        <v>2464</v>
      </c>
      <c r="C371" s="3" t="s">
        <v>2465</v>
      </c>
      <c r="D371" s="3" t="s">
        <v>2519</v>
      </c>
      <c r="E371" s="3" t="s">
        <v>1589</v>
      </c>
      <c r="F371" s="3" t="s">
        <v>2521</v>
      </c>
      <c r="G371" s="3" t="s">
        <v>1591</v>
      </c>
      <c r="H371" s="3" t="s">
        <v>1592</v>
      </c>
      <c r="I371" s="3" t="s">
        <v>2520</v>
      </c>
      <c r="J371" s="4">
        <v>0</v>
      </c>
      <c r="K371" s="4">
        <v>3.541</v>
      </c>
      <c r="L371" s="4">
        <v>1.5670000000000002</v>
      </c>
      <c r="M371" s="4">
        <v>1.75</v>
      </c>
      <c r="N371" s="5">
        <v>345561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f t="shared" si="48"/>
        <v>345561</v>
      </c>
      <c r="U371" s="5">
        <f t="shared" si="62"/>
        <v>0</v>
      </c>
      <c r="V371" s="5">
        <v>0</v>
      </c>
      <c r="W371" s="5">
        <v>0</v>
      </c>
      <c r="X371" s="5">
        <v>0</v>
      </c>
      <c r="Y371" s="5">
        <v>345561</v>
      </c>
      <c r="Z371" s="5">
        <f t="shared" si="49"/>
        <v>345561</v>
      </c>
      <c r="AA371" s="20">
        <f t="shared" si="50"/>
        <v>0</v>
      </c>
    </row>
    <row r="372" spans="1:27" ht="12.75">
      <c r="A372" s="3" t="s">
        <v>1699</v>
      </c>
      <c r="B372" s="3" t="s">
        <v>2464</v>
      </c>
      <c r="C372" s="3" t="s">
        <v>2465</v>
      </c>
      <c r="D372" s="3" t="s">
        <v>2522</v>
      </c>
      <c r="E372" s="3" t="s">
        <v>1589</v>
      </c>
      <c r="F372" s="3" t="s">
        <v>2524</v>
      </c>
      <c r="G372" s="3" t="s">
        <v>1591</v>
      </c>
      <c r="H372" s="3" t="s">
        <v>1592</v>
      </c>
      <c r="I372" s="3" t="s">
        <v>2523</v>
      </c>
      <c r="J372" s="4">
        <v>0.333</v>
      </c>
      <c r="K372" s="4">
        <v>1.833</v>
      </c>
      <c r="L372" s="4">
        <v>2.0829999999999997</v>
      </c>
      <c r="M372" s="4">
        <v>1.943</v>
      </c>
      <c r="N372" s="5">
        <v>250319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f t="shared" si="48"/>
        <v>250319</v>
      </c>
      <c r="U372" s="5">
        <f t="shared" si="62"/>
        <v>0</v>
      </c>
      <c r="V372" s="5">
        <v>0</v>
      </c>
      <c r="W372" s="5">
        <v>0</v>
      </c>
      <c r="X372" s="5">
        <v>0</v>
      </c>
      <c r="Y372" s="5">
        <v>250319</v>
      </c>
      <c r="Z372" s="5">
        <f t="shared" si="49"/>
        <v>250319</v>
      </c>
      <c r="AA372" s="20">
        <f t="shared" si="50"/>
        <v>0</v>
      </c>
    </row>
    <row r="373" spans="1:27" ht="12.75">
      <c r="A373" s="3" t="s">
        <v>1699</v>
      </c>
      <c r="B373" s="3" t="s">
        <v>2464</v>
      </c>
      <c r="C373" s="3" t="s">
        <v>2465</v>
      </c>
      <c r="D373" s="3" t="s">
        <v>2525</v>
      </c>
      <c r="E373" s="3" t="s">
        <v>2527</v>
      </c>
      <c r="F373" s="3" t="s">
        <v>2528</v>
      </c>
      <c r="G373" s="3" t="s">
        <v>2529</v>
      </c>
      <c r="H373" s="3" t="s">
        <v>1592</v>
      </c>
      <c r="I373" s="3" t="s">
        <v>2391</v>
      </c>
      <c r="J373" s="4">
        <v>0</v>
      </c>
      <c r="K373" s="4">
        <v>0</v>
      </c>
      <c r="L373" s="4">
        <v>6.107</v>
      </c>
      <c r="M373" s="4">
        <v>13.536999999999999</v>
      </c>
      <c r="N373" s="5">
        <v>695153</v>
      </c>
      <c r="O373" s="5">
        <v>0</v>
      </c>
      <c r="P373" s="5">
        <v>46690</v>
      </c>
      <c r="Q373" s="5">
        <v>0</v>
      </c>
      <c r="R373" s="5">
        <v>0</v>
      </c>
      <c r="S373" s="5">
        <v>0</v>
      </c>
      <c r="T373" s="5">
        <f t="shared" si="48"/>
        <v>741843</v>
      </c>
      <c r="U373" s="5">
        <f t="shared" si="62"/>
        <v>0</v>
      </c>
      <c r="V373" s="5">
        <v>0</v>
      </c>
      <c r="W373" s="5">
        <v>0</v>
      </c>
      <c r="X373" s="5">
        <v>0</v>
      </c>
      <c r="Y373" s="5">
        <v>741843</v>
      </c>
      <c r="Z373" s="5">
        <f t="shared" si="49"/>
        <v>741843</v>
      </c>
      <c r="AA373" s="20">
        <f t="shared" si="50"/>
        <v>0</v>
      </c>
    </row>
    <row r="374" spans="1:27" ht="12.75">
      <c r="A374" s="3" t="s">
        <v>1699</v>
      </c>
      <c r="B374" s="3" t="s">
        <v>2464</v>
      </c>
      <c r="C374" s="3" t="s">
        <v>2465</v>
      </c>
      <c r="D374" s="3" t="s">
        <v>2530</v>
      </c>
      <c r="E374" s="3" t="s">
        <v>2527</v>
      </c>
      <c r="F374" s="3" t="s">
        <v>2532</v>
      </c>
      <c r="G374" s="3" t="s">
        <v>2533</v>
      </c>
      <c r="H374" s="3" t="s">
        <v>1592</v>
      </c>
      <c r="I374" s="3" t="s">
        <v>926</v>
      </c>
      <c r="J374" s="4">
        <v>0</v>
      </c>
      <c r="K374" s="4">
        <v>0</v>
      </c>
      <c r="L374" s="4">
        <v>0</v>
      </c>
      <c r="M374" s="4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f t="shared" si="48"/>
        <v>0</v>
      </c>
      <c r="U374" s="5">
        <v>3015</v>
      </c>
      <c r="V374" s="5">
        <v>0</v>
      </c>
      <c r="W374" s="5">
        <v>0</v>
      </c>
      <c r="X374" s="5">
        <v>0</v>
      </c>
      <c r="Y374" s="5">
        <v>3015</v>
      </c>
      <c r="Z374" s="5">
        <f t="shared" si="49"/>
        <v>3015</v>
      </c>
      <c r="AA374" s="20">
        <f t="shared" si="50"/>
        <v>0</v>
      </c>
    </row>
    <row r="375" spans="1:27" ht="12.75">
      <c r="A375" s="3" t="s">
        <v>1699</v>
      </c>
      <c r="B375" s="3" t="s">
        <v>2464</v>
      </c>
      <c r="C375" s="3" t="s">
        <v>2465</v>
      </c>
      <c r="D375" s="3" t="s">
        <v>2534</v>
      </c>
      <c r="E375" s="3" t="s">
        <v>2536</v>
      </c>
      <c r="F375" s="3" t="s">
        <v>2537</v>
      </c>
      <c r="G375" s="3" t="s">
        <v>2538</v>
      </c>
      <c r="H375" s="3" t="s">
        <v>1592</v>
      </c>
      <c r="I375" s="3" t="s">
        <v>2390</v>
      </c>
      <c r="J375" s="4">
        <v>0</v>
      </c>
      <c r="K375" s="4">
        <v>0</v>
      </c>
      <c r="L375" s="4">
        <v>2.175</v>
      </c>
      <c r="M375" s="4">
        <v>4.6739999999999995</v>
      </c>
      <c r="N375" s="5">
        <v>238662</v>
      </c>
      <c r="O375" s="5">
        <v>0</v>
      </c>
      <c r="P375" s="5">
        <v>5608</v>
      </c>
      <c r="Q375" s="5">
        <v>0</v>
      </c>
      <c r="R375" s="5">
        <v>0</v>
      </c>
      <c r="S375" s="5">
        <v>0</v>
      </c>
      <c r="T375" s="5">
        <f t="shared" si="48"/>
        <v>244270</v>
      </c>
      <c r="U375" s="5">
        <f t="shared" si="62"/>
        <v>0</v>
      </c>
      <c r="V375" s="5">
        <v>0</v>
      </c>
      <c r="W375" s="5">
        <v>0</v>
      </c>
      <c r="X375" s="5">
        <v>0</v>
      </c>
      <c r="Y375" s="5">
        <v>244270</v>
      </c>
      <c r="Z375" s="5">
        <f t="shared" si="49"/>
        <v>244270</v>
      </c>
      <c r="AA375" s="20">
        <f t="shared" si="50"/>
        <v>0</v>
      </c>
    </row>
    <row r="376" spans="1:27" ht="12.75">
      <c r="A376" s="3" t="s">
        <v>1699</v>
      </c>
      <c r="B376" s="3" t="s">
        <v>2464</v>
      </c>
      <c r="C376" s="3" t="s">
        <v>2465</v>
      </c>
      <c r="D376" s="3" t="s">
        <v>2539</v>
      </c>
      <c r="E376" s="3" t="s">
        <v>2536</v>
      </c>
      <c r="F376" s="3" t="s">
        <v>2543</v>
      </c>
      <c r="G376" s="3" t="s">
        <v>2544</v>
      </c>
      <c r="H376" s="3" t="s">
        <v>1592</v>
      </c>
      <c r="I376" s="3" t="s">
        <v>927</v>
      </c>
      <c r="J376" s="4">
        <v>0</v>
      </c>
      <c r="K376" s="4">
        <v>0</v>
      </c>
      <c r="L376" s="4">
        <v>0</v>
      </c>
      <c r="M376" s="4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f t="shared" si="48"/>
        <v>0</v>
      </c>
      <c r="U376" s="5">
        <v>681</v>
      </c>
      <c r="V376" s="5">
        <v>0</v>
      </c>
      <c r="W376" s="5">
        <v>0</v>
      </c>
      <c r="X376" s="5">
        <v>0</v>
      </c>
      <c r="Y376" s="5">
        <v>681</v>
      </c>
      <c r="Z376" s="5">
        <f t="shared" si="49"/>
        <v>681</v>
      </c>
      <c r="AA376" s="20">
        <f t="shared" si="50"/>
        <v>0</v>
      </c>
    </row>
    <row r="377" spans="1:27" ht="12.75">
      <c r="A377" s="3" t="s">
        <v>1668</v>
      </c>
      <c r="B377" s="3" t="s">
        <v>2464</v>
      </c>
      <c r="C377" s="3" t="s">
        <v>2465</v>
      </c>
      <c r="D377" s="3" t="s">
        <v>2545</v>
      </c>
      <c r="E377" s="3" t="s">
        <v>2527</v>
      </c>
      <c r="F377" s="3" t="s">
        <v>2547</v>
      </c>
      <c r="G377" s="3" t="s">
        <v>2548</v>
      </c>
      <c r="H377" s="3" t="s">
        <v>1592</v>
      </c>
      <c r="I377" s="3" t="s">
        <v>928</v>
      </c>
      <c r="J377" s="4">
        <v>0</v>
      </c>
      <c r="K377" s="4">
        <v>0</v>
      </c>
      <c r="L377" s="4">
        <v>0</v>
      </c>
      <c r="M377" s="4">
        <v>0</v>
      </c>
      <c r="N377" s="5">
        <v>0</v>
      </c>
      <c r="O377" s="5">
        <v>0</v>
      </c>
      <c r="P377" s="5">
        <v>0</v>
      </c>
      <c r="Q377" s="5">
        <v>0</v>
      </c>
      <c r="R377" s="5">
        <v>86000</v>
      </c>
      <c r="S377" s="5">
        <v>0</v>
      </c>
      <c r="T377" s="5">
        <f t="shared" si="48"/>
        <v>86000</v>
      </c>
      <c r="U377" s="5">
        <f t="shared" si="62"/>
        <v>0</v>
      </c>
      <c r="V377" s="5">
        <v>0</v>
      </c>
      <c r="W377" s="5">
        <v>0</v>
      </c>
      <c r="X377" s="5">
        <v>0</v>
      </c>
      <c r="Y377" s="5">
        <v>86000</v>
      </c>
      <c r="Z377" s="5">
        <f t="shared" si="49"/>
        <v>86000</v>
      </c>
      <c r="AA377" s="20">
        <f t="shared" si="50"/>
        <v>0</v>
      </c>
    </row>
    <row r="378" spans="1:27" ht="13.5" thickBot="1">
      <c r="A378" s="3" t="s">
        <v>1668</v>
      </c>
      <c r="B378" s="3" t="s">
        <v>2464</v>
      </c>
      <c r="C378" s="3" t="s">
        <v>2465</v>
      </c>
      <c r="D378" s="3" t="s">
        <v>2549</v>
      </c>
      <c r="E378" s="3" t="s">
        <v>2536</v>
      </c>
      <c r="F378" s="3" t="s">
        <v>2551</v>
      </c>
      <c r="G378" s="3" t="s">
        <v>2552</v>
      </c>
      <c r="H378" s="3" t="s">
        <v>1592</v>
      </c>
      <c r="I378" s="3" t="s">
        <v>929</v>
      </c>
      <c r="J378" s="6">
        <v>0</v>
      </c>
      <c r="K378" s="6">
        <v>0</v>
      </c>
      <c r="L378" s="6">
        <v>0</v>
      </c>
      <c r="M378" s="6">
        <v>0</v>
      </c>
      <c r="N378" s="7">
        <v>0</v>
      </c>
      <c r="O378" s="7">
        <v>0</v>
      </c>
      <c r="P378" s="7">
        <v>0</v>
      </c>
      <c r="Q378" s="7">
        <v>0</v>
      </c>
      <c r="R378" s="7">
        <v>32000</v>
      </c>
      <c r="S378" s="7">
        <v>0</v>
      </c>
      <c r="T378" s="7">
        <f t="shared" si="48"/>
        <v>32000</v>
      </c>
      <c r="U378" s="7">
        <f t="shared" si="62"/>
        <v>0</v>
      </c>
      <c r="V378" s="7">
        <v>0</v>
      </c>
      <c r="W378" s="7">
        <v>0</v>
      </c>
      <c r="X378" s="7">
        <v>0</v>
      </c>
      <c r="Y378" s="7">
        <v>32000</v>
      </c>
      <c r="Z378" s="7">
        <f t="shared" si="49"/>
        <v>32000</v>
      </c>
      <c r="AA378" s="20">
        <f t="shared" si="50"/>
        <v>0</v>
      </c>
    </row>
    <row r="379" spans="9:27" ht="12.75">
      <c r="I379" s="3" t="s">
        <v>173</v>
      </c>
      <c r="J379" s="4">
        <f aca="true" t="shared" si="63" ref="J379:Y379">SUM(J359:J378)</f>
        <v>1.666</v>
      </c>
      <c r="K379" s="4">
        <f t="shared" si="63"/>
        <v>14.124</v>
      </c>
      <c r="L379" s="4">
        <f t="shared" si="63"/>
        <v>31.370000000000005</v>
      </c>
      <c r="M379" s="4">
        <f t="shared" si="63"/>
        <v>62.742</v>
      </c>
      <c r="N379" s="5">
        <f t="shared" si="63"/>
        <v>4252005</v>
      </c>
      <c r="O379" s="5">
        <f t="shared" si="63"/>
        <v>0</v>
      </c>
      <c r="P379" s="5">
        <f t="shared" si="63"/>
        <v>61847</v>
      </c>
      <c r="Q379" s="5">
        <f t="shared" si="63"/>
        <v>0</v>
      </c>
      <c r="R379" s="5">
        <f t="shared" si="63"/>
        <v>118000</v>
      </c>
      <c r="S379" s="5">
        <f t="shared" si="63"/>
        <v>0</v>
      </c>
      <c r="T379" s="5">
        <f t="shared" si="63"/>
        <v>4431852</v>
      </c>
      <c r="U379" s="5">
        <f t="shared" si="63"/>
        <v>87353</v>
      </c>
      <c r="V379" s="5">
        <f t="shared" si="63"/>
        <v>0</v>
      </c>
      <c r="W379" s="5">
        <f t="shared" si="63"/>
        <v>0</v>
      </c>
      <c r="X379" s="5">
        <f t="shared" si="63"/>
        <v>0</v>
      </c>
      <c r="Y379" s="5">
        <f t="shared" si="63"/>
        <v>4519205</v>
      </c>
      <c r="Z379" s="5">
        <f t="shared" si="49"/>
        <v>4519205</v>
      </c>
      <c r="AA379" s="20">
        <f t="shared" si="50"/>
        <v>0</v>
      </c>
    </row>
    <row r="380" spans="10:27" ht="12.75">
      <c r="J380" s="4"/>
      <c r="K380" s="4"/>
      <c r="L380" s="4"/>
      <c r="M380" s="4"/>
      <c r="N380" s="5"/>
      <c r="O380" s="5"/>
      <c r="P380" s="5"/>
      <c r="Q380" s="5"/>
      <c r="R380" s="5"/>
      <c r="S380" s="5"/>
      <c r="T380" s="5" t="s">
        <v>2540</v>
      </c>
      <c r="U380" s="5"/>
      <c r="V380" s="5"/>
      <c r="W380" s="5"/>
      <c r="X380" s="5"/>
      <c r="Y380" s="5"/>
      <c r="Z380" s="5" t="s">
        <v>2540</v>
      </c>
      <c r="AA380" s="20" t="s">
        <v>2540</v>
      </c>
    </row>
    <row r="381" spans="9:27" ht="12.75">
      <c r="I381" s="3" t="s">
        <v>174</v>
      </c>
      <c r="J381" s="4"/>
      <c r="K381" s="4"/>
      <c r="L381" s="4"/>
      <c r="M381" s="4"/>
      <c r="N381" s="5"/>
      <c r="O381" s="5"/>
      <c r="P381" s="5"/>
      <c r="Q381" s="5"/>
      <c r="R381" s="5"/>
      <c r="S381" s="5"/>
      <c r="T381" s="5" t="s">
        <v>2540</v>
      </c>
      <c r="U381" s="5"/>
      <c r="V381" s="5"/>
      <c r="W381" s="5"/>
      <c r="X381" s="5"/>
      <c r="Y381" s="5"/>
      <c r="Z381" s="5" t="s">
        <v>2540</v>
      </c>
      <c r="AA381" s="20" t="s">
        <v>2540</v>
      </c>
    </row>
    <row r="382" spans="10:27" ht="12.75">
      <c r="J382" s="4"/>
      <c r="K382" s="4"/>
      <c r="L382" s="4"/>
      <c r="M382" s="4"/>
      <c r="N382" s="5"/>
      <c r="O382" s="5"/>
      <c r="P382" s="5"/>
      <c r="Q382" s="5"/>
      <c r="R382" s="5"/>
      <c r="S382" s="5"/>
      <c r="T382" s="5" t="s">
        <v>2540</v>
      </c>
      <c r="U382" s="5"/>
      <c r="V382" s="5"/>
      <c r="W382" s="5"/>
      <c r="X382" s="5"/>
      <c r="Y382" s="5"/>
      <c r="Z382" s="5" t="s">
        <v>2540</v>
      </c>
      <c r="AA382" s="20" t="s">
        <v>2540</v>
      </c>
    </row>
    <row r="383" spans="9:27" ht="12.75">
      <c r="I383" s="3" t="s">
        <v>175</v>
      </c>
      <c r="J383" s="4">
        <f>SUM(J359:J372)</f>
        <v>1.666</v>
      </c>
      <c r="K383" s="4">
        <f aca="true" t="shared" si="64" ref="K383:Y383">SUM(K359:K372)</f>
        <v>14.124</v>
      </c>
      <c r="L383" s="4">
        <f t="shared" si="64"/>
        <v>23.088000000000005</v>
      </c>
      <c r="M383" s="4">
        <f t="shared" si="64"/>
        <v>44.531</v>
      </c>
      <c r="N383" s="5">
        <f t="shared" si="64"/>
        <v>3318190</v>
      </c>
      <c r="O383" s="5">
        <f t="shared" si="64"/>
        <v>0</v>
      </c>
      <c r="P383" s="5">
        <f t="shared" si="64"/>
        <v>9549</v>
      </c>
      <c r="Q383" s="5">
        <f t="shared" si="64"/>
        <v>0</v>
      </c>
      <c r="R383" s="5">
        <f t="shared" si="64"/>
        <v>0</v>
      </c>
      <c r="S383" s="5">
        <f t="shared" si="64"/>
        <v>0</v>
      </c>
      <c r="T383" s="5">
        <f t="shared" si="64"/>
        <v>3327739</v>
      </c>
      <c r="U383" s="5">
        <f t="shared" si="64"/>
        <v>83657</v>
      </c>
      <c r="V383" s="5">
        <f t="shared" si="64"/>
        <v>0</v>
      </c>
      <c r="W383" s="5">
        <f t="shared" si="64"/>
        <v>0</v>
      </c>
      <c r="X383" s="5">
        <f t="shared" si="64"/>
        <v>0</v>
      </c>
      <c r="Y383" s="5">
        <f t="shared" si="64"/>
        <v>3411396</v>
      </c>
      <c r="Z383" s="5">
        <f t="shared" si="49"/>
        <v>3411396</v>
      </c>
      <c r="AA383" s="20">
        <f t="shared" si="50"/>
        <v>0</v>
      </c>
    </row>
    <row r="384" spans="9:27" ht="13.5" thickBot="1">
      <c r="I384" s="3" t="s">
        <v>176</v>
      </c>
      <c r="J384" s="6">
        <f aca="true" t="shared" si="65" ref="J384:Y384">SUM(J373:J378)</f>
        <v>0</v>
      </c>
      <c r="K384" s="6">
        <f t="shared" si="65"/>
        <v>0</v>
      </c>
      <c r="L384" s="6">
        <f t="shared" si="65"/>
        <v>8.282</v>
      </c>
      <c r="M384" s="15">
        <f t="shared" si="65"/>
        <v>18.211</v>
      </c>
      <c r="N384" s="7">
        <f t="shared" si="65"/>
        <v>933815</v>
      </c>
      <c r="O384" s="7">
        <f t="shared" si="65"/>
        <v>0</v>
      </c>
      <c r="P384" s="7">
        <f t="shared" si="65"/>
        <v>52298</v>
      </c>
      <c r="Q384" s="7">
        <f t="shared" si="65"/>
        <v>0</v>
      </c>
      <c r="R384" s="7">
        <f t="shared" si="65"/>
        <v>118000</v>
      </c>
      <c r="S384" s="7">
        <f t="shared" si="65"/>
        <v>0</v>
      </c>
      <c r="T384" s="7">
        <f t="shared" si="65"/>
        <v>1104113</v>
      </c>
      <c r="U384" s="7">
        <f t="shared" si="65"/>
        <v>3696</v>
      </c>
      <c r="V384" s="7">
        <f t="shared" si="65"/>
        <v>0</v>
      </c>
      <c r="W384" s="7">
        <f t="shared" si="65"/>
        <v>0</v>
      </c>
      <c r="X384" s="7">
        <f t="shared" si="65"/>
        <v>0</v>
      </c>
      <c r="Y384" s="7">
        <f t="shared" si="65"/>
        <v>1107809</v>
      </c>
      <c r="Z384" s="7">
        <f t="shared" si="49"/>
        <v>1107809</v>
      </c>
      <c r="AA384" s="20">
        <f t="shared" si="50"/>
        <v>0</v>
      </c>
    </row>
    <row r="385" spans="9:27" ht="12.75">
      <c r="I385" s="3" t="s">
        <v>177</v>
      </c>
      <c r="J385" s="4">
        <f>SUM(J383:J384)</f>
        <v>1.666</v>
      </c>
      <c r="K385" s="4">
        <f aca="true" t="shared" si="66" ref="K385:Y385">SUM(K383:K384)</f>
        <v>14.124</v>
      </c>
      <c r="L385" s="4">
        <f t="shared" si="66"/>
        <v>31.370000000000005</v>
      </c>
      <c r="M385" s="4">
        <f t="shared" si="66"/>
        <v>62.742</v>
      </c>
      <c r="N385" s="5">
        <f t="shared" si="66"/>
        <v>4252005</v>
      </c>
      <c r="O385" s="5">
        <f t="shared" si="66"/>
        <v>0</v>
      </c>
      <c r="P385" s="5">
        <f t="shared" si="66"/>
        <v>61847</v>
      </c>
      <c r="Q385" s="5">
        <f t="shared" si="66"/>
        <v>0</v>
      </c>
      <c r="R385" s="5">
        <f t="shared" si="66"/>
        <v>118000</v>
      </c>
      <c r="S385" s="5">
        <f t="shared" si="66"/>
        <v>0</v>
      </c>
      <c r="T385" s="5">
        <f t="shared" si="66"/>
        <v>4431852</v>
      </c>
      <c r="U385" s="5">
        <f t="shared" si="66"/>
        <v>87353</v>
      </c>
      <c r="V385" s="5">
        <f t="shared" si="66"/>
        <v>0</v>
      </c>
      <c r="W385" s="5">
        <f t="shared" si="66"/>
        <v>0</v>
      </c>
      <c r="X385" s="5">
        <f t="shared" si="66"/>
        <v>0</v>
      </c>
      <c r="Y385" s="5">
        <f t="shared" si="66"/>
        <v>4519205</v>
      </c>
      <c r="Z385" s="5">
        <f t="shared" si="49"/>
        <v>4519205</v>
      </c>
      <c r="AA385" s="20">
        <f t="shared" si="50"/>
        <v>0</v>
      </c>
    </row>
    <row r="386" spans="10:27" ht="13.5" thickBot="1">
      <c r="J386" s="6"/>
      <c r="K386" s="6"/>
      <c r="L386" s="6"/>
      <c r="M386" s="6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20"/>
    </row>
    <row r="387" spans="10:27" ht="12.75">
      <c r="J387" s="4"/>
      <c r="K387" s="4"/>
      <c r="L387" s="4"/>
      <c r="M387" s="4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20"/>
    </row>
    <row r="388" spans="9:27" ht="12.75">
      <c r="I388" s="3" t="s">
        <v>178</v>
      </c>
      <c r="J388" s="4">
        <f>+SUM(J350:J355)+(J379)</f>
        <v>1.666</v>
      </c>
      <c r="K388" s="4">
        <f aca="true" t="shared" si="67" ref="K388:Y388">+SUM(K350:K355)+(K379)</f>
        <v>14.124</v>
      </c>
      <c r="L388" s="4">
        <f t="shared" si="67"/>
        <v>42.292</v>
      </c>
      <c r="M388" s="4">
        <f t="shared" si="67"/>
        <v>62.742</v>
      </c>
      <c r="N388" s="5">
        <f t="shared" si="67"/>
        <v>4548693</v>
      </c>
      <c r="O388" s="5">
        <f t="shared" si="67"/>
        <v>45545</v>
      </c>
      <c r="P388" s="5">
        <f t="shared" si="67"/>
        <v>70640</v>
      </c>
      <c r="Q388" s="5">
        <f t="shared" si="67"/>
        <v>0</v>
      </c>
      <c r="R388" s="5">
        <f t="shared" si="67"/>
        <v>1284887</v>
      </c>
      <c r="S388" s="5">
        <f t="shared" si="67"/>
        <v>0</v>
      </c>
      <c r="T388" s="5">
        <f t="shared" si="67"/>
        <v>5949765</v>
      </c>
      <c r="U388" s="5">
        <f t="shared" si="67"/>
        <v>107757</v>
      </c>
      <c r="V388" s="5">
        <f t="shared" si="67"/>
        <v>0</v>
      </c>
      <c r="W388" s="5">
        <f t="shared" si="67"/>
        <v>0</v>
      </c>
      <c r="X388" s="5">
        <f t="shared" si="67"/>
        <v>0</v>
      </c>
      <c r="Y388" s="5">
        <f t="shared" si="67"/>
        <v>6057522</v>
      </c>
      <c r="Z388" s="5">
        <f t="shared" si="49"/>
        <v>6057522</v>
      </c>
      <c r="AA388" s="20">
        <f t="shared" si="50"/>
        <v>0</v>
      </c>
    </row>
    <row r="389" spans="10:27" ht="12.75">
      <c r="J389" s="4"/>
      <c r="K389" s="4"/>
      <c r="L389" s="4"/>
      <c r="M389" s="4"/>
      <c r="N389" s="5"/>
      <c r="O389" s="5"/>
      <c r="P389" s="5"/>
      <c r="Q389" s="5"/>
      <c r="R389" s="5"/>
      <c r="S389" s="5"/>
      <c r="T389" s="5" t="s">
        <v>2540</v>
      </c>
      <c r="U389" s="5"/>
      <c r="V389" s="5"/>
      <c r="W389" s="5"/>
      <c r="X389" s="5"/>
      <c r="Y389" s="5"/>
      <c r="Z389" s="5" t="s">
        <v>2540</v>
      </c>
      <c r="AA389" s="20" t="s">
        <v>2540</v>
      </c>
    </row>
    <row r="390" spans="9:27" ht="12.75">
      <c r="I390" s="3" t="s">
        <v>2554</v>
      </c>
      <c r="J390" s="4"/>
      <c r="K390" s="4"/>
      <c r="L390" s="4"/>
      <c r="M390" s="4"/>
      <c r="N390" s="5"/>
      <c r="O390" s="5"/>
      <c r="P390" s="5"/>
      <c r="Q390" s="5"/>
      <c r="R390" s="5"/>
      <c r="S390" s="5"/>
      <c r="T390" s="5" t="s">
        <v>2540</v>
      </c>
      <c r="U390" s="5" t="s">
        <v>2540</v>
      </c>
      <c r="V390" s="5"/>
      <c r="W390" s="5"/>
      <c r="X390" s="5"/>
      <c r="Y390" s="5"/>
      <c r="Z390" s="5" t="s">
        <v>2540</v>
      </c>
      <c r="AA390" s="20" t="s">
        <v>2540</v>
      </c>
    </row>
    <row r="391" spans="10:27" ht="12.75">
      <c r="J391" s="4"/>
      <c r="K391" s="4"/>
      <c r="L391" s="4"/>
      <c r="M391" s="4"/>
      <c r="N391" s="5"/>
      <c r="O391" s="5"/>
      <c r="P391" s="5"/>
      <c r="Q391" s="5"/>
      <c r="R391" s="5"/>
      <c r="S391" s="5"/>
      <c r="T391" s="5" t="s">
        <v>2540</v>
      </c>
      <c r="U391" s="5"/>
      <c r="V391" s="5"/>
      <c r="W391" s="5"/>
      <c r="X391" s="5"/>
      <c r="Y391" s="5"/>
      <c r="Z391" s="5" t="s">
        <v>2540</v>
      </c>
      <c r="AA391" s="20" t="s">
        <v>2540</v>
      </c>
    </row>
    <row r="392" spans="1:27" ht="12.75">
      <c r="A392" s="3" t="s">
        <v>1668</v>
      </c>
      <c r="B392" s="3" t="s">
        <v>2553</v>
      </c>
      <c r="C392" s="3" t="s">
        <v>2554</v>
      </c>
      <c r="D392" s="3" t="s">
        <v>2555</v>
      </c>
      <c r="E392" s="3" t="s">
        <v>1589</v>
      </c>
      <c r="F392" s="3" t="s">
        <v>2557</v>
      </c>
      <c r="G392" s="3" t="s">
        <v>1591</v>
      </c>
      <c r="H392" s="3" t="s">
        <v>1592</v>
      </c>
      <c r="I392" s="3" t="s">
        <v>2392</v>
      </c>
      <c r="J392" s="4">
        <v>0</v>
      </c>
      <c r="K392" s="4">
        <v>0</v>
      </c>
      <c r="L392" s="4">
        <v>0</v>
      </c>
      <c r="M392" s="4">
        <v>0</v>
      </c>
      <c r="N392" s="5">
        <v>0</v>
      </c>
      <c r="O392" s="5">
        <v>0</v>
      </c>
      <c r="P392" s="5">
        <v>0</v>
      </c>
      <c r="Q392" s="5">
        <v>0</v>
      </c>
      <c r="R392" s="5">
        <f>2170064+10900-11383</f>
        <v>2169581</v>
      </c>
      <c r="S392" s="5">
        <v>0</v>
      </c>
      <c r="T392" s="5">
        <f t="shared" si="48"/>
        <v>2169581</v>
      </c>
      <c r="U392" s="5">
        <f>SUM(S392:S392)</f>
        <v>0</v>
      </c>
      <c r="V392" s="5">
        <v>0</v>
      </c>
      <c r="W392" s="5">
        <v>0</v>
      </c>
      <c r="X392" s="5">
        <v>0</v>
      </c>
      <c r="Y392" s="5">
        <f>2170064+11815-915-11383</f>
        <v>2169581</v>
      </c>
      <c r="Z392" s="5">
        <f t="shared" si="49"/>
        <v>2169581</v>
      </c>
      <c r="AA392" s="20">
        <f t="shared" si="50"/>
        <v>0</v>
      </c>
    </row>
    <row r="393" spans="1:27" ht="12.75">
      <c r="A393" s="3" t="s">
        <v>1668</v>
      </c>
      <c r="B393" s="3" t="s">
        <v>2553</v>
      </c>
      <c r="C393" s="3" t="s">
        <v>2554</v>
      </c>
      <c r="D393" s="3" t="s">
        <v>2558</v>
      </c>
      <c r="E393" s="3" t="s">
        <v>1589</v>
      </c>
      <c r="F393" s="3" t="s">
        <v>2560</v>
      </c>
      <c r="G393" s="3" t="s">
        <v>1591</v>
      </c>
      <c r="H393" s="3" t="s">
        <v>1592</v>
      </c>
      <c r="I393" s="3" t="s">
        <v>2559</v>
      </c>
      <c r="J393" s="4">
        <v>0</v>
      </c>
      <c r="K393" s="4">
        <v>0</v>
      </c>
      <c r="L393" s="4">
        <v>0</v>
      </c>
      <c r="M393" s="4">
        <v>0</v>
      </c>
      <c r="N393" s="5">
        <v>0</v>
      </c>
      <c r="O393" s="5">
        <v>23198</v>
      </c>
      <c r="P393" s="5">
        <v>0</v>
      </c>
      <c r="Q393" s="5">
        <v>0</v>
      </c>
      <c r="R393" s="5" t="s">
        <v>2540</v>
      </c>
      <c r="S393" s="5">
        <v>0</v>
      </c>
      <c r="T393" s="5">
        <f t="shared" si="48"/>
        <v>23198</v>
      </c>
      <c r="U393" s="5">
        <f>SUM(S393:S393)</f>
        <v>0</v>
      </c>
      <c r="V393" s="5">
        <v>0</v>
      </c>
      <c r="W393" s="5">
        <v>0</v>
      </c>
      <c r="X393" s="5">
        <v>0</v>
      </c>
      <c r="Y393" s="5">
        <v>23198</v>
      </c>
      <c r="Z393" s="5">
        <f t="shared" si="49"/>
        <v>23198</v>
      </c>
      <c r="AA393" s="20">
        <f t="shared" si="50"/>
        <v>0</v>
      </c>
    </row>
    <row r="394" spans="1:27" ht="12.75">
      <c r="A394" s="3" t="s">
        <v>1842</v>
      </c>
      <c r="B394" s="3" t="s">
        <v>2553</v>
      </c>
      <c r="C394" s="3" t="s">
        <v>2554</v>
      </c>
      <c r="D394" s="3" t="s">
        <v>2561</v>
      </c>
      <c r="E394" s="3" t="s">
        <v>1589</v>
      </c>
      <c r="F394" s="3" t="s">
        <v>2563</v>
      </c>
      <c r="G394" s="3" t="s">
        <v>1591</v>
      </c>
      <c r="H394" s="3" t="s">
        <v>1592</v>
      </c>
      <c r="I394" s="3" t="s">
        <v>2562</v>
      </c>
      <c r="J394" s="4">
        <v>1</v>
      </c>
      <c r="K394" s="4">
        <v>0</v>
      </c>
      <c r="L394" s="4">
        <v>3</v>
      </c>
      <c r="M394" s="4">
        <v>0</v>
      </c>
      <c r="N394" s="5">
        <v>186192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f t="shared" si="48"/>
        <v>186192</v>
      </c>
      <c r="U394" s="5">
        <f>SUM(S394:S394)</f>
        <v>0</v>
      </c>
      <c r="V394" s="5">
        <v>0</v>
      </c>
      <c r="W394" s="5">
        <v>0</v>
      </c>
      <c r="X394" s="5">
        <v>0</v>
      </c>
      <c r="Y394" s="5">
        <v>186192</v>
      </c>
      <c r="Z394" s="5">
        <f t="shared" si="49"/>
        <v>186192</v>
      </c>
      <c r="AA394" s="20">
        <f t="shared" si="50"/>
        <v>0</v>
      </c>
    </row>
    <row r="395" spans="1:27" ht="12.75">
      <c r="A395" s="3" t="s">
        <v>1842</v>
      </c>
      <c r="B395" s="3" t="s">
        <v>2553</v>
      </c>
      <c r="C395" s="3" t="s">
        <v>2554</v>
      </c>
      <c r="D395" s="3" t="s">
        <v>2564</v>
      </c>
      <c r="E395" s="3" t="s">
        <v>1589</v>
      </c>
      <c r="F395" s="3" t="s">
        <v>2566</v>
      </c>
      <c r="G395" s="3" t="s">
        <v>1591</v>
      </c>
      <c r="H395" s="3" t="s">
        <v>1592</v>
      </c>
      <c r="I395" s="3" t="s">
        <v>2393</v>
      </c>
      <c r="J395" s="4">
        <v>1</v>
      </c>
      <c r="K395" s="4">
        <v>0</v>
      </c>
      <c r="L395" s="4">
        <v>3</v>
      </c>
      <c r="M395" s="4">
        <v>0</v>
      </c>
      <c r="N395" s="5">
        <v>150048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f t="shared" si="48"/>
        <v>150048</v>
      </c>
      <c r="U395" s="5">
        <v>9288</v>
      </c>
      <c r="V395" s="5">
        <v>0</v>
      </c>
      <c r="W395" s="5">
        <v>0</v>
      </c>
      <c r="X395" s="5">
        <v>0</v>
      </c>
      <c r="Y395" s="5">
        <v>159336</v>
      </c>
      <c r="Z395" s="5">
        <f t="shared" si="49"/>
        <v>159336</v>
      </c>
      <c r="AA395" s="20">
        <f t="shared" si="50"/>
        <v>0</v>
      </c>
    </row>
    <row r="396" spans="1:27" ht="12.75">
      <c r="A396" s="3" t="s">
        <v>1751</v>
      </c>
      <c r="B396" s="3" t="s">
        <v>2553</v>
      </c>
      <c r="C396" s="3" t="s">
        <v>2554</v>
      </c>
      <c r="D396" s="3" t="s">
        <v>2567</v>
      </c>
      <c r="E396" s="3" t="s">
        <v>1589</v>
      </c>
      <c r="F396" s="3" t="s">
        <v>2569</v>
      </c>
      <c r="G396" s="3" t="s">
        <v>1591</v>
      </c>
      <c r="H396" s="3" t="s">
        <v>1592</v>
      </c>
      <c r="I396" s="3" t="s">
        <v>2568</v>
      </c>
      <c r="J396" s="4">
        <v>0</v>
      </c>
      <c r="K396" s="4">
        <v>0</v>
      </c>
      <c r="L396" s="4">
        <v>1.5</v>
      </c>
      <c r="M396" s="4">
        <v>0</v>
      </c>
      <c r="N396" s="5">
        <v>43260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f t="shared" si="48"/>
        <v>43260</v>
      </c>
      <c r="U396" s="5">
        <v>6500</v>
      </c>
      <c r="V396" s="5">
        <v>0</v>
      </c>
      <c r="W396" s="5">
        <v>0</v>
      </c>
      <c r="X396" s="5">
        <v>0</v>
      </c>
      <c r="Y396" s="5">
        <v>49760</v>
      </c>
      <c r="Z396" s="5">
        <f t="shared" si="49"/>
        <v>49760</v>
      </c>
      <c r="AA396" s="20">
        <f t="shared" si="50"/>
        <v>0</v>
      </c>
    </row>
    <row r="397" spans="1:27" ht="12.75">
      <c r="A397" s="3" t="s">
        <v>1964</v>
      </c>
      <c r="B397" s="3" t="s">
        <v>2553</v>
      </c>
      <c r="C397" s="3" t="s">
        <v>2554</v>
      </c>
      <c r="D397" s="3" t="s">
        <v>2570</v>
      </c>
      <c r="E397" s="3" t="s">
        <v>1589</v>
      </c>
      <c r="F397" s="3" t="s">
        <v>2572</v>
      </c>
      <c r="G397" s="3" t="s">
        <v>1591</v>
      </c>
      <c r="H397" s="3" t="s">
        <v>1592</v>
      </c>
      <c r="I397" s="3" t="s">
        <v>2571</v>
      </c>
      <c r="J397" s="4">
        <v>0</v>
      </c>
      <c r="K397" s="4">
        <v>0</v>
      </c>
      <c r="L397" s="4">
        <v>0</v>
      </c>
      <c r="M397" s="4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f t="shared" si="48"/>
        <v>0</v>
      </c>
      <c r="U397" s="5">
        <v>335033</v>
      </c>
      <c r="V397" s="5">
        <v>0</v>
      </c>
      <c r="W397" s="5">
        <v>0</v>
      </c>
      <c r="X397" s="5">
        <v>0</v>
      </c>
      <c r="Y397" s="5">
        <v>335033</v>
      </c>
      <c r="Z397" s="5">
        <f t="shared" si="49"/>
        <v>335033</v>
      </c>
      <c r="AA397" s="20">
        <f t="shared" si="50"/>
        <v>0</v>
      </c>
    </row>
    <row r="398" spans="1:27" ht="12.75">
      <c r="A398" s="3" t="s">
        <v>1699</v>
      </c>
      <c r="B398" s="3" t="s">
        <v>2553</v>
      </c>
      <c r="C398" s="3" t="s">
        <v>2554</v>
      </c>
      <c r="D398" s="3" t="s">
        <v>2573</v>
      </c>
      <c r="E398" s="3" t="s">
        <v>1589</v>
      </c>
      <c r="F398" s="3" t="s">
        <v>2575</v>
      </c>
      <c r="G398" s="3" t="s">
        <v>1591</v>
      </c>
      <c r="H398" s="3" t="s">
        <v>1592</v>
      </c>
      <c r="I398" s="3" t="s">
        <v>2394</v>
      </c>
      <c r="J398" s="4">
        <v>0</v>
      </c>
      <c r="K398" s="4">
        <v>0</v>
      </c>
      <c r="L398" s="4">
        <v>0</v>
      </c>
      <c r="M398" s="4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f t="shared" si="48"/>
        <v>0</v>
      </c>
      <c r="U398" s="5">
        <v>28467</v>
      </c>
      <c r="V398" s="5">
        <v>0</v>
      </c>
      <c r="W398" s="5">
        <v>0</v>
      </c>
      <c r="X398" s="5">
        <v>0</v>
      </c>
      <c r="Y398" s="5">
        <v>28467</v>
      </c>
      <c r="Z398" s="5">
        <f t="shared" si="49"/>
        <v>28467</v>
      </c>
      <c r="AA398" s="20">
        <f aca="true" t="shared" si="68" ref="AA398:AA462">+Y398-Z398</f>
        <v>0</v>
      </c>
    </row>
    <row r="399" spans="1:27" ht="12.75">
      <c r="A399" s="3" t="s">
        <v>2576</v>
      </c>
      <c r="B399" s="3" t="s">
        <v>2553</v>
      </c>
      <c r="C399" s="3" t="s">
        <v>2554</v>
      </c>
      <c r="D399" s="3" t="s">
        <v>2577</v>
      </c>
      <c r="E399" s="3" t="s">
        <v>1589</v>
      </c>
      <c r="F399" s="3" t="s">
        <v>2579</v>
      </c>
      <c r="G399" s="3" t="s">
        <v>1591</v>
      </c>
      <c r="H399" s="3" t="s">
        <v>1592</v>
      </c>
      <c r="I399" s="3" t="s">
        <v>2578</v>
      </c>
      <c r="J399" s="4">
        <v>2</v>
      </c>
      <c r="K399" s="4">
        <v>29</v>
      </c>
      <c r="L399" s="4">
        <v>46</v>
      </c>
      <c r="M399" s="4">
        <v>0</v>
      </c>
      <c r="N399" s="5">
        <v>2172660</v>
      </c>
      <c r="O399" s="5">
        <v>0</v>
      </c>
      <c r="P399" s="5">
        <v>290387</v>
      </c>
      <c r="Q399" s="5">
        <v>0</v>
      </c>
      <c r="R399" s="5">
        <v>0</v>
      </c>
      <c r="S399" s="5">
        <v>0</v>
      </c>
      <c r="T399" s="5">
        <f t="shared" si="48"/>
        <v>2463047</v>
      </c>
      <c r="U399" s="5">
        <v>172444</v>
      </c>
      <c r="V399" s="5">
        <v>0</v>
      </c>
      <c r="W399" s="5">
        <v>0</v>
      </c>
      <c r="X399" s="5">
        <v>7296</v>
      </c>
      <c r="Y399" s="5">
        <v>2642787</v>
      </c>
      <c r="Z399" s="5">
        <f t="shared" si="49"/>
        <v>2642787</v>
      </c>
      <c r="AA399" s="20">
        <f t="shared" si="68"/>
        <v>0</v>
      </c>
    </row>
    <row r="400" spans="1:27" ht="12.75">
      <c r="A400" s="3" t="s">
        <v>1968</v>
      </c>
      <c r="B400" s="3" t="s">
        <v>2553</v>
      </c>
      <c r="C400" s="3" t="s">
        <v>2554</v>
      </c>
      <c r="D400" s="3" t="s">
        <v>2580</v>
      </c>
      <c r="E400" s="3" t="s">
        <v>1589</v>
      </c>
      <c r="F400" s="3" t="s">
        <v>2582</v>
      </c>
      <c r="G400" s="3" t="s">
        <v>1591</v>
      </c>
      <c r="H400" s="3" t="s">
        <v>1592</v>
      </c>
      <c r="I400" s="3" t="s">
        <v>2395</v>
      </c>
      <c r="J400" s="4">
        <v>0</v>
      </c>
      <c r="K400" s="4">
        <v>0</v>
      </c>
      <c r="L400" s="4">
        <v>0</v>
      </c>
      <c r="M400" s="4"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f aca="true" t="shared" si="69" ref="T400:T462">SUM(N400:R400)</f>
        <v>0</v>
      </c>
      <c r="U400" s="5">
        <v>18964</v>
      </c>
      <c r="V400" s="5">
        <v>0</v>
      </c>
      <c r="W400" s="5">
        <v>0</v>
      </c>
      <c r="X400" s="5">
        <v>0</v>
      </c>
      <c r="Y400" s="5">
        <v>18964</v>
      </c>
      <c r="Z400" s="5">
        <f aca="true" t="shared" si="70" ref="Z400:Z463">SUM(T400:X400)</f>
        <v>18964</v>
      </c>
      <c r="AA400" s="20">
        <f t="shared" si="68"/>
        <v>0</v>
      </c>
    </row>
    <row r="401" spans="1:27" ht="12.75">
      <c r="A401" s="3" t="s">
        <v>2576</v>
      </c>
      <c r="B401" s="3" t="s">
        <v>2553</v>
      </c>
      <c r="C401" s="3" t="s">
        <v>2554</v>
      </c>
      <c r="D401" s="3" t="s">
        <v>2583</v>
      </c>
      <c r="E401" s="3" t="s">
        <v>1589</v>
      </c>
      <c r="F401" s="3" t="s">
        <v>2585</v>
      </c>
      <c r="G401" s="3" t="s">
        <v>1591</v>
      </c>
      <c r="H401" s="3" t="s">
        <v>1592</v>
      </c>
      <c r="I401" s="3" t="s">
        <v>2584</v>
      </c>
      <c r="J401" s="4">
        <v>0</v>
      </c>
      <c r="K401" s="4">
        <v>0</v>
      </c>
      <c r="L401" s="4">
        <v>0</v>
      </c>
      <c r="M401" s="4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f t="shared" si="69"/>
        <v>0</v>
      </c>
      <c r="U401" s="5">
        <v>2922729</v>
      </c>
      <c r="V401" s="5">
        <v>0</v>
      </c>
      <c r="W401" s="5">
        <v>0</v>
      </c>
      <c r="X401" s="5">
        <v>70000</v>
      </c>
      <c r="Y401" s="5">
        <v>2992729</v>
      </c>
      <c r="Z401" s="5">
        <f t="shared" si="70"/>
        <v>2992729</v>
      </c>
      <c r="AA401" s="20">
        <f t="shared" si="68"/>
        <v>0</v>
      </c>
    </row>
    <row r="402" spans="1:27" ht="12.75">
      <c r="A402" s="3" t="s">
        <v>2576</v>
      </c>
      <c r="B402" s="3" t="s">
        <v>2553</v>
      </c>
      <c r="C402" s="3" t="s">
        <v>2554</v>
      </c>
      <c r="D402" s="3" t="s">
        <v>2586</v>
      </c>
      <c r="E402" s="3" t="s">
        <v>1589</v>
      </c>
      <c r="F402" s="3" t="s">
        <v>2588</v>
      </c>
      <c r="G402" s="3" t="s">
        <v>1591</v>
      </c>
      <c r="H402" s="3" t="s">
        <v>1592</v>
      </c>
      <c r="I402" s="3" t="s">
        <v>2587</v>
      </c>
      <c r="J402" s="4">
        <v>0</v>
      </c>
      <c r="K402" s="4">
        <v>0</v>
      </c>
      <c r="L402" s="4">
        <v>0</v>
      </c>
      <c r="M402" s="4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f t="shared" si="69"/>
        <v>0</v>
      </c>
      <c r="U402" s="5">
        <f>SUM(S402:S402)</f>
        <v>0</v>
      </c>
      <c r="V402" s="5">
        <v>0</v>
      </c>
      <c r="W402" s="5">
        <v>0</v>
      </c>
      <c r="X402" s="5">
        <v>76421</v>
      </c>
      <c r="Y402" s="5">
        <v>76421</v>
      </c>
      <c r="Z402" s="5">
        <f t="shared" si="70"/>
        <v>76421</v>
      </c>
      <c r="AA402" s="20">
        <f t="shared" si="68"/>
        <v>0</v>
      </c>
    </row>
    <row r="403" spans="1:27" ht="12.75">
      <c r="A403" s="3" t="s">
        <v>1842</v>
      </c>
      <c r="B403" s="3" t="s">
        <v>2553</v>
      </c>
      <c r="C403" s="3" t="s">
        <v>2554</v>
      </c>
      <c r="D403" s="3" t="s">
        <v>2589</v>
      </c>
      <c r="E403" s="3" t="s">
        <v>1589</v>
      </c>
      <c r="F403" s="3" t="s">
        <v>2591</v>
      </c>
      <c r="G403" s="3" t="s">
        <v>1591</v>
      </c>
      <c r="H403" s="3" t="s">
        <v>1592</v>
      </c>
      <c r="I403" s="3" t="s">
        <v>2396</v>
      </c>
      <c r="J403" s="4">
        <v>0</v>
      </c>
      <c r="K403" s="4">
        <v>0</v>
      </c>
      <c r="L403" s="4">
        <v>0</v>
      </c>
      <c r="M403" s="4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f t="shared" si="69"/>
        <v>0</v>
      </c>
      <c r="U403" s="5">
        <v>13982</v>
      </c>
      <c r="V403" s="5">
        <v>0</v>
      </c>
      <c r="W403" s="5">
        <v>0</v>
      </c>
      <c r="X403" s="5">
        <v>0</v>
      </c>
      <c r="Y403" s="5">
        <v>13982</v>
      </c>
      <c r="Z403" s="5">
        <f t="shared" si="70"/>
        <v>13982</v>
      </c>
      <c r="AA403" s="20">
        <f t="shared" si="68"/>
        <v>0</v>
      </c>
    </row>
    <row r="404" spans="1:27" ht="12.75">
      <c r="A404" s="3" t="s">
        <v>1842</v>
      </c>
      <c r="B404" s="3" t="s">
        <v>2553</v>
      </c>
      <c r="C404" s="3" t="s">
        <v>2554</v>
      </c>
      <c r="D404" s="3" t="s">
        <v>2592</v>
      </c>
      <c r="E404" s="3" t="s">
        <v>1589</v>
      </c>
      <c r="F404" s="3" t="s">
        <v>2594</v>
      </c>
      <c r="G404" s="3" t="s">
        <v>1591</v>
      </c>
      <c r="H404" s="3" t="s">
        <v>1592</v>
      </c>
      <c r="I404" s="3" t="s">
        <v>2593</v>
      </c>
      <c r="J404" s="4">
        <v>1</v>
      </c>
      <c r="K404" s="4">
        <v>5</v>
      </c>
      <c r="L404" s="4">
        <v>7.5</v>
      </c>
      <c r="M404" s="4">
        <v>0</v>
      </c>
      <c r="N404" s="5">
        <v>409488</v>
      </c>
      <c r="O404" s="5">
        <v>0</v>
      </c>
      <c r="P404" s="5">
        <v>13983</v>
      </c>
      <c r="Q404" s="5">
        <v>0</v>
      </c>
      <c r="R404" s="5">
        <v>0</v>
      </c>
      <c r="S404" s="5">
        <v>0</v>
      </c>
      <c r="T404" s="5">
        <f t="shared" si="69"/>
        <v>423471</v>
      </c>
      <c r="U404" s="5">
        <v>4562</v>
      </c>
      <c r="V404" s="5">
        <v>0</v>
      </c>
      <c r="W404" s="5">
        <v>0</v>
      </c>
      <c r="X404" s="5">
        <v>0</v>
      </c>
      <c r="Y404" s="5">
        <v>428033</v>
      </c>
      <c r="Z404" s="5">
        <f t="shared" si="70"/>
        <v>428033</v>
      </c>
      <c r="AA404" s="20">
        <f t="shared" si="68"/>
        <v>0</v>
      </c>
    </row>
    <row r="405" spans="1:27" ht="12.75">
      <c r="A405" s="3" t="s">
        <v>2595</v>
      </c>
      <c r="B405" s="3" t="s">
        <v>2553</v>
      </c>
      <c r="C405" s="3" t="s">
        <v>2554</v>
      </c>
      <c r="D405" s="3" t="s">
        <v>2596</v>
      </c>
      <c r="E405" s="3" t="s">
        <v>1589</v>
      </c>
      <c r="F405" s="3" t="s">
        <v>2598</v>
      </c>
      <c r="G405" s="3" t="s">
        <v>1591</v>
      </c>
      <c r="H405" s="3" t="s">
        <v>1592</v>
      </c>
      <c r="I405" s="3" t="s">
        <v>2597</v>
      </c>
      <c r="J405" s="4">
        <v>2.5</v>
      </c>
      <c r="K405" s="4">
        <v>0</v>
      </c>
      <c r="L405" s="4">
        <v>38</v>
      </c>
      <c r="M405" s="4">
        <v>0</v>
      </c>
      <c r="N405" s="5">
        <v>1536324</v>
      </c>
      <c r="O405" s="5">
        <v>0</v>
      </c>
      <c r="P405" s="5">
        <v>29493</v>
      </c>
      <c r="Q405" s="5">
        <v>0</v>
      </c>
      <c r="R405" s="5">
        <v>0</v>
      </c>
      <c r="S405" s="5">
        <v>0</v>
      </c>
      <c r="T405" s="5">
        <f t="shared" si="69"/>
        <v>1565817</v>
      </c>
      <c r="U405" s="5">
        <v>66180</v>
      </c>
      <c r="V405" s="5">
        <v>0</v>
      </c>
      <c r="W405" s="5">
        <v>0</v>
      </c>
      <c r="X405" s="5">
        <v>0</v>
      </c>
      <c r="Y405" s="5">
        <v>1631997</v>
      </c>
      <c r="Z405" s="5">
        <f t="shared" si="70"/>
        <v>1631997</v>
      </c>
      <c r="AA405" s="20">
        <f t="shared" si="68"/>
        <v>0</v>
      </c>
    </row>
    <row r="406" spans="1:27" ht="12.75">
      <c r="A406" s="3" t="s">
        <v>1584</v>
      </c>
      <c r="B406" s="3" t="s">
        <v>2553</v>
      </c>
      <c r="C406" s="3" t="s">
        <v>2554</v>
      </c>
      <c r="D406" s="3" t="s">
        <v>2599</v>
      </c>
      <c r="E406" s="3" t="s">
        <v>1589</v>
      </c>
      <c r="F406" s="3" t="s">
        <v>2601</v>
      </c>
      <c r="G406" s="3" t="s">
        <v>1591</v>
      </c>
      <c r="H406" s="3" t="s">
        <v>1592</v>
      </c>
      <c r="I406" s="3" t="s">
        <v>2600</v>
      </c>
      <c r="J406" s="4">
        <v>1</v>
      </c>
      <c r="K406" s="4">
        <v>0</v>
      </c>
      <c r="L406" s="4">
        <v>5</v>
      </c>
      <c r="M406" s="4">
        <v>0</v>
      </c>
      <c r="N406" s="5">
        <v>159660</v>
      </c>
      <c r="O406" s="5">
        <v>0</v>
      </c>
      <c r="P406" s="5">
        <v>826</v>
      </c>
      <c r="Q406" s="5">
        <v>0</v>
      </c>
      <c r="R406" s="5">
        <v>0</v>
      </c>
      <c r="S406" s="5">
        <v>0</v>
      </c>
      <c r="T406" s="5">
        <f t="shared" si="69"/>
        <v>160486</v>
      </c>
      <c r="U406" s="5">
        <v>4406</v>
      </c>
      <c r="V406" s="5">
        <v>0</v>
      </c>
      <c r="W406" s="5">
        <v>0</v>
      </c>
      <c r="X406" s="5">
        <v>0</v>
      </c>
      <c r="Y406" s="5">
        <v>164892</v>
      </c>
      <c r="Z406" s="5">
        <f t="shared" si="70"/>
        <v>164892</v>
      </c>
      <c r="AA406" s="20">
        <f t="shared" si="68"/>
        <v>0</v>
      </c>
    </row>
    <row r="407" spans="1:27" ht="12.75">
      <c r="A407" s="3" t="s">
        <v>2576</v>
      </c>
      <c r="B407" s="3" t="s">
        <v>2553</v>
      </c>
      <c r="C407" s="3" t="s">
        <v>2554</v>
      </c>
      <c r="D407" s="3" t="s">
        <v>2602</v>
      </c>
      <c r="E407" s="3" t="s">
        <v>1589</v>
      </c>
      <c r="F407" s="3" t="s">
        <v>2604</v>
      </c>
      <c r="G407" s="3" t="s">
        <v>1591</v>
      </c>
      <c r="H407" s="3" t="s">
        <v>1592</v>
      </c>
      <c r="I407" s="3" t="s">
        <v>2603</v>
      </c>
      <c r="J407" s="4">
        <v>0</v>
      </c>
      <c r="K407" s="4">
        <v>0</v>
      </c>
      <c r="L407" s="4">
        <v>1</v>
      </c>
      <c r="M407" s="4">
        <v>0</v>
      </c>
      <c r="N407" s="5">
        <v>25800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f t="shared" si="69"/>
        <v>25800</v>
      </c>
      <c r="U407" s="5">
        <v>7538</v>
      </c>
      <c r="V407" s="5">
        <v>0</v>
      </c>
      <c r="W407" s="5">
        <v>0</v>
      </c>
      <c r="X407" s="5">
        <v>0</v>
      </c>
      <c r="Y407" s="5">
        <v>33338</v>
      </c>
      <c r="Z407" s="5">
        <f t="shared" si="70"/>
        <v>33338</v>
      </c>
      <c r="AA407" s="20">
        <f t="shared" si="68"/>
        <v>0</v>
      </c>
    </row>
    <row r="408" spans="1:27" ht="12.75">
      <c r="A408" s="3" t="s">
        <v>1842</v>
      </c>
      <c r="B408" s="3" t="s">
        <v>2553</v>
      </c>
      <c r="C408" s="3" t="s">
        <v>2554</v>
      </c>
      <c r="D408" s="3" t="s">
        <v>2605</v>
      </c>
      <c r="E408" s="3" t="s">
        <v>1589</v>
      </c>
      <c r="F408" s="3" t="s">
        <v>2607</v>
      </c>
      <c r="G408" s="3" t="s">
        <v>1591</v>
      </c>
      <c r="H408" s="3" t="s">
        <v>1592</v>
      </c>
      <c r="I408" s="3" t="s">
        <v>2606</v>
      </c>
      <c r="J408" s="4">
        <v>1</v>
      </c>
      <c r="K408" s="4">
        <v>0</v>
      </c>
      <c r="L408" s="4">
        <v>1</v>
      </c>
      <c r="M408" s="4">
        <v>2</v>
      </c>
      <c r="N408" s="5">
        <v>119724</v>
      </c>
      <c r="O408" s="5">
        <v>0</v>
      </c>
      <c r="P408" s="5">
        <v>1836</v>
      </c>
      <c r="Q408" s="5">
        <v>0</v>
      </c>
      <c r="R408" s="5">
        <v>0</v>
      </c>
      <c r="S408" s="5">
        <v>0</v>
      </c>
      <c r="T408" s="5">
        <f t="shared" si="69"/>
        <v>121560</v>
      </c>
      <c r="U408" s="5">
        <v>24061</v>
      </c>
      <c r="V408" s="5">
        <v>0</v>
      </c>
      <c r="W408" s="5">
        <v>0</v>
      </c>
      <c r="X408" s="5">
        <v>0</v>
      </c>
      <c r="Y408" s="5">
        <v>145621</v>
      </c>
      <c r="Z408" s="5">
        <f t="shared" si="70"/>
        <v>145621</v>
      </c>
      <c r="AA408" s="20">
        <f t="shared" si="68"/>
        <v>0</v>
      </c>
    </row>
    <row r="409" spans="1:27" ht="12.75">
      <c r="A409" s="3" t="s">
        <v>1842</v>
      </c>
      <c r="B409" s="3" t="s">
        <v>2553</v>
      </c>
      <c r="C409" s="3" t="s">
        <v>2554</v>
      </c>
      <c r="D409" s="3" t="s">
        <v>2608</v>
      </c>
      <c r="E409" s="3" t="s">
        <v>1589</v>
      </c>
      <c r="F409" s="3" t="s">
        <v>2610</v>
      </c>
      <c r="G409" s="3" t="s">
        <v>1591</v>
      </c>
      <c r="H409" s="3" t="s">
        <v>1592</v>
      </c>
      <c r="I409" s="3" t="s">
        <v>2609</v>
      </c>
      <c r="J409" s="4">
        <v>0</v>
      </c>
      <c r="K409" s="4">
        <v>0</v>
      </c>
      <c r="L409" s="4">
        <v>2</v>
      </c>
      <c r="M409" s="4">
        <v>0</v>
      </c>
      <c r="N409" s="5">
        <v>47232</v>
      </c>
      <c r="O409" s="5">
        <v>0</v>
      </c>
      <c r="P409" s="5">
        <v>5200</v>
      </c>
      <c r="Q409" s="5">
        <v>0</v>
      </c>
      <c r="R409" s="5">
        <v>0</v>
      </c>
      <c r="S409" s="5">
        <v>0</v>
      </c>
      <c r="T409" s="5">
        <f t="shared" si="69"/>
        <v>52432</v>
      </c>
      <c r="U409" s="5">
        <v>5050</v>
      </c>
      <c r="V409" s="5">
        <v>0</v>
      </c>
      <c r="W409" s="5">
        <v>0</v>
      </c>
      <c r="X409" s="5">
        <v>0</v>
      </c>
      <c r="Y409" s="5">
        <v>57482</v>
      </c>
      <c r="Z409" s="5">
        <f t="shared" si="70"/>
        <v>57482</v>
      </c>
      <c r="AA409" s="20">
        <f t="shared" si="68"/>
        <v>0</v>
      </c>
    </row>
    <row r="410" spans="1:27" ht="12.75">
      <c r="A410" s="3" t="s">
        <v>1842</v>
      </c>
      <c r="B410" s="3" t="s">
        <v>2553</v>
      </c>
      <c r="C410" s="3" t="s">
        <v>2554</v>
      </c>
      <c r="D410" s="3" t="s">
        <v>2611</v>
      </c>
      <c r="E410" s="3" t="s">
        <v>1589</v>
      </c>
      <c r="F410" s="3" t="s">
        <v>2613</v>
      </c>
      <c r="G410" s="3" t="s">
        <v>1591</v>
      </c>
      <c r="H410" s="3" t="s">
        <v>1592</v>
      </c>
      <c r="I410" s="3" t="s">
        <v>2397</v>
      </c>
      <c r="J410" s="4">
        <v>0</v>
      </c>
      <c r="K410" s="4">
        <v>0</v>
      </c>
      <c r="L410" s="4">
        <v>0</v>
      </c>
      <c r="M410" s="4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f t="shared" si="69"/>
        <v>0</v>
      </c>
      <c r="U410" s="5">
        <v>27983</v>
      </c>
      <c r="V410" s="5">
        <v>0</v>
      </c>
      <c r="W410" s="5">
        <v>0</v>
      </c>
      <c r="X410" s="5">
        <v>0</v>
      </c>
      <c r="Y410" s="5">
        <v>27983</v>
      </c>
      <c r="Z410" s="5">
        <f t="shared" si="70"/>
        <v>27983</v>
      </c>
      <c r="AA410" s="20">
        <f t="shared" si="68"/>
        <v>0</v>
      </c>
    </row>
    <row r="411" spans="1:27" ht="12.75">
      <c r="A411" s="3" t="s">
        <v>1842</v>
      </c>
      <c r="B411" s="3" t="s">
        <v>2553</v>
      </c>
      <c r="C411" s="3" t="s">
        <v>2554</v>
      </c>
      <c r="D411" s="3" t="s">
        <v>2614</v>
      </c>
      <c r="E411" s="3" t="s">
        <v>1589</v>
      </c>
      <c r="F411" s="3" t="s">
        <v>2616</v>
      </c>
      <c r="G411" s="3" t="s">
        <v>1591</v>
      </c>
      <c r="H411" s="3" t="s">
        <v>1592</v>
      </c>
      <c r="I411" s="3" t="s">
        <v>2615</v>
      </c>
      <c r="J411" s="4">
        <v>0</v>
      </c>
      <c r="K411" s="4">
        <v>0</v>
      </c>
      <c r="L411" s="4">
        <v>0</v>
      </c>
      <c r="M411" s="4">
        <v>0</v>
      </c>
      <c r="N411" s="5">
        <v>0</v>
      </c>
      <c r="O411" s="5">
        <v>0</v>
      </c>
      <c r="P411" s="5">
        <v>581138</v>
      </c>
      <c r="Q411" s="5">
        <v>0</v>
      </c>
      <c r="R411" s="5">
        <v>0</v>
      </c>
      <c r="S411" s="5">
        <v>0</v>
      </c>
      <c r="T411" s="5">
        <f t="shared" si="69"/>
        <v>581138</v>
      </c>
      <c r="U411" s="5">
        <v>581132</v>
      </c>
      <c r="V411" s="5">
        <v>0</v>
      </c>
      <c r="W411" s="5">
        <v>0</v>
      </c>
      <c r="X411" s="5">
        <v>0</v>
      </c>
      <c r="Y411" s="5">
        <v>1162270</v>
      </c>
      <c r="Z411" s="5">
        <f t="shared" si="70"/>
        <v>1162270</v>
      </c>
      <c r="AA411" s="20">
        <f t="shared" si="68"/>
        <v>0</v>
      </c>
    </row>
    <row r="412" spans="1:27" ht="12.75">
      <c r="A412" s="3" t="s">
        <v>1751</v>
      </c>
      <c r="B412" s="3" t="s">
        <v>2553</v>
      </c>
      <c r="C412" s="3" t="s">
        <v>2554</v>
      </c>
      <c r="D412" s="3" t="s">
        <v>2617</v>
      </c>
      <c r="E412" s="3" t="s">
        <v>1589</v>
      </c>
      <c r="F412" s="3" t="s">
        <v>2619</v>
      </c>
      <c r="G412" s="3" t="s">
        <v>1591</v>
      </c>
      <c r="H412" s="3" t="s">
        <v>1592</v>
      </c>
      <c r="I412" s="3" t="s">
        <v>2618</v>
      </c>
      <c r="J412" s="4">
        <v>0</v>
      </c>
      <c r="K412" s="4">
        <v>1</v>
      </c>
      <c r="L412" s="4">
        <v>2</v>
      </c>
      <c r="M412" s="4">
        <v>0</v>
      </c>
      <c r="N412" s="5">
        <v>127176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f t="shared" si="69"/>
        <v>127176</v>
      </c>
      <c r="U412" s="5">
        <v>47470</v>
      </c>
      <c r="V412" s="5">
        <v>0</v>
      </c>
      <c r="W412" s="5">
        <v>0</v>
      </c>
      <c r="X412" s="5" t="s">
        <v>2540</v>
      </c>
      <c r="Y412" s="5">
        <v>174646</v>
      </c>
      <c r="Z412" s="5">
        <f t="shared" si="70"/>
        <v>174646</v>
      </c>
      <c r="AA412" s="20">
        <f t="shared" si="68"/>
        <v>0</v>
      </c>
    </row>
    <row r="413" spans="1:27" ht="12.75">
      <c r="A413" s="3" t="s">
        <v>1871</v>
      </c>
      <c r="B413" s="3" t="s">
        <v>2553</v>
      </c>
      <c r="C413" s="3" t="s">
        <v>2554</v>
      </c>
      <c r="D413" s="3" t="s">
        <v>2620</v>
      </c>
      <c r="E413" s="3" t="s">
        <v>1589</v>
      </c>
      <c r="F413" s="3" t="s">
        <v>2622</v>
      </c>
      <c r="G413" s="3" t="s">
        <v>1591</v>
      </c>
      <c r="H413" s="3" t="s">
        <v>1592</v>
      </c>
      <c r="I413" s="3" t="s">
        <v>2398</v>
      </c>
      <c r="J413" s="4">
        <v>1</v>
      </c>
      <c r="K413" s="4">
        <v>0</v>
      </c>
      <c r="L413" s="4">
        <v>12</v>
      </c>
      <c r="M413" s="4">
        <v>6</v>
      </c>
      <c r="N413" s="5">
        <v>478370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f t="shared" si="69"/>
        <v>478370</v>
      </c>
      <c r="U413" s="5">
        <v>11700</v>
      </c>
      <c r="V413" s="5">
        <v>0</v>
      </c>
      <c r="W413" s="5">
        <v>0</v>
      </c>
      <c r="X413" s="5">
        <v>0</v>
      </c>
      <c r="Y413" s="5">
        <v>490070</v>
      </c>
      <c r="Z413" s="5">
        <f t="shared" si="70"/>
        <v>490070</v>
      </c>
      <c r="AA413" s="20">
        <f t="shared" si="68"/>
        <v>0</v>
      </c>
    </row>
    <row r="414" spans="1:27" ht="12.75">
      <c r="A414" s="3" t="s">
        <v>1699</v>
      </c>
      <c r="B414" s="3" t="s">
        <v>2553</v>
      </c>
      <c r="C414" s="3" t="s">
        <v>2554</v>
      </c>
      <c r="D414" s="3" t="s">
        <v>2623</v>
      </c>
      <c r="E414" s="3" t="s">
        <v>1589</v>
      </c>
      <c r="F414" s="3" t="s">
        <v>2625</v>
      </c>
      <c r="G414" s="3" t="s">
        <v>1591</v>
      </c>
      <c r="H414" s="3" t="s">
        <v>1592</v>
      </c>
      <c r="I414" s="3" t="s">
        <v>2624</v>
      </c>
      <c r="J414" s="4">
        <v>1.334</v>
      </c>
      <c r="K414" s="4">
        <v>0</v>
      </c>
      <c r="L414" s="4">
        <v>3.1660000000000004</v>
      </c>
      <c r="M414" s="4">
        <v>0</v>
      </c>
      <c r="N414" s="5">
        <v>208101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f t="shared" si="69"/>
        <v>208101</v>
      </c>
      <c r="U414" s="5">
        <f>SUM(S414:S414)</f>
        <v>0</v>
      </c>
      <c r="V414" s="5">
        <v>0</v>
      </c>
      <c r="W414" s="5">
        <v>0</v>
      </c>
      <c r="X414" s="5">
        <v>0</v>
      </c>
      <c r="Y414" s="5">
        <v>208101</v>
      </c>
      <c r="Z414" s="5">
        <f t="shared" si="70"/>
        <v>208101</v>
      </c>
      <c r="AA414" s="20">
        <f t="shared" si="68"/>
        <v>0</v>
      </c>
    </row>
    <row r="415" spans="1:27" ht="12.75">
      <c r="A415" s="3" t="s">
        <v>1699</v>
      </c>
      <c r="B415" s="3" t="s">
        <v>2553</v>
      </c>
      <c r="C415" s="3" t="s">
        <v>2554</v>
      </c>
      <c r="D415" s="3" t="s">
        <v>2626</v>
      </c>
      <c r="E415" s="3" t="s">
        <v>1589</v>
      </c>
      <c r="F415" s="3" t="s">
        <v>2628</v>
      </c>
      <c r="G415" s="3" t="s">
        <v>1591</v>
      </c>
      <c r="H415" s="3" t="s">
        <v>1592</v>
      </c>
      <c r="I415" s="3" t="s">
        <v>2627</v>
      </c>
      <c r="J415" s="4">
        <v>0</v>
      </c>
      <c r="K415" s="4">
        <v>0</v>
      </c>
      <c r="L415" s="4">
        <v>0</v>
      </c>
      <c r="M415" s="4">
        <v>0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f t="shared" si="69"/>
        <v>0</v>
      </c>
      <c r="U415" s="5">
        <v>21150</v>
      </c>
      <c r="V415" s="5">
        <v>0</v>
      </c>
      <c r="W415" s="5">
        <v>0</v>
      </c>
      <c r="X415" s="5">
        <v>0</v>
      </c>
      <c r="Y415" s="5">
        <v>21150</v>
      </c>
      <c r="Z415" s="5">
        <f t="shared" si="70"/>
        <v>21150</v>
      </c>
      <c r="AA415" s="20">
        <f t="shared" si="68"/>
        <v>0</v>
      </c>
    </row>
    <row r="416" spans="1:27" ht="12.75">
      <c r="A416" s="3" t="s">
        <v>1751</v>
      </c>
      <c r="B416" s="3" t="s">
        <v>2553</v>
      </c>
      <c r="C416" s="3" t="s">
        <v>2554</v>
      </c>
      <c r="D416" s="3" t="s">
        <v>2629</v>
      </c>
      <c r="E416" s="3" t="s">
        <v>1589</v>
      </c>
      <c r="F416" s="3" t="s">
        <v>2631</v>
      </c>
      <c r="G416" s="3" t="s">
        <v>1591</v>
      </c>
      <c r="H416" s="3" t="s">
        <v>1592</v>
      </c>
      <c r="I416" s="3" t="s">
        <v>2630</v>
      </c>
      <c r="J416" s="4">
        <v>1</v>
      </c>
      <c r="K416" s="4">
        <v>0</v>
      </c>
      <c r="L416" s="4">
        <v>5</v>
      </c>
      <c r="M416" s="4">
        <v>0</v>
      </c>
      <c r="N416" s="5">
        <v>273036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5">
        <f t="shared" si="69"/>
        <v>273036</v>
      </c>
      <c r="U416" s="5">
        <f>SUM(S416:S416)</f>
        <v>0</v>
      </c>
      <c r="V416" s="5">
        <v>0</v>
      </c>
      <c r="W416" s="5">
        <v>0</v>
      </c>
      <c r="X416" s="5">
        <v>0</v>
      </c>
      <c r="Y416" s="5">
        <v>273036</v>
      </c>
      <c r="Z416" s="5">
        <f t="shared" si="70"/>
        <v>273036</v>
      </c>
      <c r="AA416" s="20">
        <f t="shared" si="68"/>
        <v>0</v>
      </c>
    </row>
    <row r="417" spans="1:27" ht="12.75">
      <c r="A417" s="3" t="s">
        <v>1751</v>
      </c>
      <c r="B417" s="3" t="s">
        <v>2553</v>
      </c>
      <c r="C417" s="3" t="s">
        <v>2554</v>
      </c>
      <c r="D417" s="3" t="s">
        <v>2632</v>
      </c>
      <c r="E417" s="3" t="s">
        <v>1589</v>
      </c>
      <c r="F417" s="3" t="s">
        <v>2634</v>
      </c>
      <c r="G417" s="3" t="s">
        <v>1591</v>
      </c>
      <c r="H417" s="3" t="s">
        <v>1592</v>
      </c>
      <c r="I417" s="3" t="s">
        <v>2399</v>
      </c>
      <c r="J417" s="4">
        <v>0</v>
      </c>
      <c r="K417" s="4">
        <v>0</v>
      </c>
      <c r="L417" s="4">
        <v>0</v>
      </c>
      <c r="M417" s="4">
        <v>0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f t="shared" si="69"/>
        <v>0</v>
      </c>
      <c r="U417" s="5">
        <v>114368</v>
      </c>
      <c r="V417" s="5">
        <v>0</v>
      </c>
      <c r="W417" s="5">
        <v>0</v>
      </c>
      <c r="X417" s="5">
        <v>0</v>
      </c>
      <c r="Y417" s="5">
        <v>114368</v>
      </c>
      <c r="Z417" s="5">
        <f t="shared" si="70"/>
        <v>114368</v>
      </c>
      <c r="AA417" s="20">
        <f t="shared" si="68"/>
        <v>0</v>
      </c>
    </row>
    <row r="418" spans="1:27" ht="12.75">
      <c r="A418" s="3" t="s">
        <v>1852</v>
      </c>
      <c r="B418" s="3" t="s">
        <v>2553</v>
      </c>
      <c r="C418" s="3" t="s">
        <v>2554</v>
      </c>
      <c r="D418" s="3" t="s">
        <v>2635</v>
      </c>
      <c r="E418" s="3" t="s">
        <v>1589</v>
      </c>
      <c r="F418" s="3" t="s">
        <v>2637</v>
      </c>
      <c r="G418" s="3" t="s">
        <v>1591</v>
      </c>
      <c r="H418" s="3" t="s">
        <v>1592</v>
      </c>
      <c r="I418" s="3" t="s">
        <v>2636</v>
      </c>
      <c r="J418" s="4">
        <v>1</v>
      </c>
      <c r="K418" s="4">
        <v>0</v>
      </c>
      <c r="L418" s="4">
        <v>5</v>
      </c>
      <c r="M418" s="4">
        <v>0</v>
      </c>
      <c r="N418" s="5">
        <v>239868</v>
      </c>
      <c r="O418" s="5">
        <v>0</v>
      </c>
      <c r="P418" s="5">
        <v>0</v>
      </c>
      <c r="Q418" s="5">
        <v>0</v>
      </c>
      <c r="R418" s="5">
        <v>0</v>
      </c>
      <c r="S418" s="5">
        <v>0</v>
      </c>
      <c r="T418" s="5">
        <f t="shared" si="69"/>
        <v>239868</v>
      </c>
      <c r="U418" s="5">
        <v>5000</v>
      </c>
      <c r="V418" s="5">
        <v>0</v>
      </c>
      <c r="W418" s="5">
        <v>0</v>
      </c>
      <c r="X418" s="5">
        <v>0</v>
      </c>
      <c r="Y418" s="5">
        <v>244868</v>
      </c>
      <c r="Z418" s="5">
        <f t="shared" si="70"/>
        <v>244868</v>
      </c>
      <c r="AA418" s="20">
        <f t="shared" si="68"/>
        <v>0</v>
      </c>
    </row>
    <row r="419" spans="1:27" ht="12.75">
      <c r="A419" s="3" t="s">
        <v>1852</v>
      </c>
      <c r="B419" s="3" t="s">
        <v>2553</v>
      </c>
      <c r="C419" s="3" t="s">
        <v>2554</v>
      </c>
      <c r="D419" s="3" t="s">
        <v>2638</v>
      </c>
      <c r="E419" s="3" t="s">
        <v>1589</v>
      </c>
      <c r="F419" s="3" t="s">
        <v>2640</v>
      </c>
      <c r="G419" s="3" t="s">
        <v>1591</v>
      </c>
      <c r="H419" s="3" t="s">
        <v>1592</v>
      </c>
      <c r="I419" s="3" t="s">
        <v>2400</v>
      </c>
      <c r="J419" s="4">
        <v>0</v>
      </c>
      <c r="K419" s="4">
        <v>0</v>
      </c>
      <c r="L419" s="4">
        <v>0</v>
      </c>
      <c r="M419" s="4">
        <v>0</v>
      </c>
      <c r="N419" s="5">
        <v>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f t="shared" si="69"/>
        <v>0</v>
      </c>
      <c r="U419" s="5">
        <v>34010</v>
      </c>
      <c r="V419" s="5">
        <v>0</v>
      </c>
      <c r="W419" s="5">
        <v>0</v>
      </c>
      <c r="X419" s="5">
        <v>0</v>
      </c>
      <c r="Y419" s="5">
        <v>34010</v>
      </c>
      <c r="Z419" s="5">
        <f t="shared" si="70"/>
        <v>34010</v>
      </c>
      <c r="AA419" s="20">
        <f t="shared" si="68"/>
        <v>0</v>
      </c>
    </row>
    <row r="420" spans="1:27" ht="12.75">
      <c r="A420" s="3" t="s">
        <v>1871</v>
      </c>
      <c r="B420" s="3" t="s">
        <v>2553</v>
      </c>
      <c r="C420" s="3" t="s">
        <v>2554</v>
      </c>
      <c r="D420" s="3" t="s">
        <v>2641</v>
      </c>
      <c r="E420" s="3" t="s">
        <v>1589</v>
      </c>
      <c r="F420" s="3" t="s">
        <v>2643</v>
      </c>
      <c r="G420" s="3" t="s">
        <v>1591</v>
      </c>
      <c r="H420" s="3" t="s">
        <v>1592</v>
      </c>
      <c r="I420" s="3" t="s">
        <v>2642</v>
      </c>
      <c r="J420" s="4">
        <v>2</v>
      </c>
      <c r="K420" s="4">
        <v>0</v>
      </c>
      <c r="L420" s="4">
        <v>4</v>
      </c>
      <c r="M420" s="4">
        <v>0</v>
      </c>
      <c r="N420" s="5">
        <v>279600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f t="shared" si="69"/>
        <v>279600</v>
      </c>
      <c r="U420" s="5">
        <v>26000</v>
      </c>
      <c r="V420" s="5">
        <v>0</v>
      </c>
      <c r="W420" s="5">
        <v>0</v>
      </c>
      <c r="X420" s="5">
        <v>0</v>
      </c>
      <c r="Y420" s="5">
        <v>305600</v>
      </c>
      <c r="Z420" s="5">
        <f t="shared" si="70"/>
        <v>305600</v>
      </c>
      <c r="AA420" s="20">
        <f t="shared" si="68"/>
        <v>0</v>
      </c>
    </row>
    <row r="421" spans="1:27" ht="12.75">
      <c r="A421" s="3" t="s">
        <v>1908</v>
      </c>
      <c r="B421" s="3" t="s">
        <v>2553</v>
      </c>
      <c r="C421" s="3" t="s">
        <v>2554</v>
      </c>
      <c r="D421" s="3" t="s">
        <v>2644</v>
      </c>
      <c r="E421" s="3" t="s">
        <v>1589</v>
      </c>
      <c r="F421" s="3" t="s">
        <v>2646</v>
      </c>
      <c r="G421" s="3" t="s">
        <v>1591</v>
      </c>
      <c r="H421" s="3" t="s">
        <v>1592</v>
      </c>
      <c r="I421" s="3" t="s">
        <v>2645</v>
      </c>
      <c r="J421" s="4">
        <v>1</v>
      </c>
      <c r="K421" s="4">
        <v>0</v>
      </c>
      <c r="L421" s="4">
        <v>2</v>
      </c>
      <c r="M421" s="4">
        <v>0</v>
      </c>
      <c r="N421" s="5">
        <v>188088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f t="shared" si="69"/>
        <v>188088</v>
      </c>
      <c r="U421" s="5">
        <v>47600</v>
      </c>
      <c r="V421" s="5">
        <v>0</v>
      </c>
      <c r="W421" s="5">
        <v>0</v>
      </c>
      <c r="X421" s="5">
        <v>0</v>
      </c>
      <c r="Y421" s="5">
        <v>235688</v>
      </c>
      <c r="Z421" s="5">
        <f t="shared" si="70"/>
        <v>235688</v>
      </c>
      <c r="AA421" s="20">
        <f t="shared" si="68"/>
        <v>0</v>
      </c>
    </row>
    <row r="422" spans="1:27" ht="12.75">
      <c r="A422" s="3" t="s">
        <v>1908</v>
      </c>
      <c r="B422" s="3" t="s">
        <v>2553</v>
      </c>
      <c r="C422" s="3" t="s">
        <v>2554</v>
      </c>
      <c r="D422" s="3" t="s">
        <v>2647</v>
      </c>
      <c r="E422" s="3" t="s">
        <v>1589</v>
      </c>
      <c r="F422" s="3" t="s">
        <v>2649</v>
      </c>
      <c r="G422" s="3" t="s">
        <v>1591</v>
      </c>
      <c r="H422" s="3" t="s">
        <v>1592</v>
      </c>
      <c r="I422" s="3" t="s">
        <v>2648</v>
      </c>
      <c r="J422" s="4">
        <v>0</v>
      </c>
      <c r="K422" s="4">
        <v>0</v>
      </c>
      <c r="L422" s="4">
        <v>0</v>
      </c>
      <c r="M422" s="4">
        <v>0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f t="shared" si="69"/>
        <v>0</v>
      </c>
      <c r="U422" s="5">
        <v>100000</v>
      </c>
      <c r="V422" s="5">
        <v>0</v>
      </c>
      <c r="W422" s="5">
        <v>0</v>
      </c>
      <c r="X422" s="5">
        <v>0</v>
      </c>
      <c r="Y422" s="5">
        <v>100000</v>
      </c>
      <c r="Z422" s="5">
        <f t="shared" si="70"/>
        <v>100000</v>
      </c>
      <c r="AA422" s="20">
        <f t="shared" si="68"/>
        <v>0</v>
      </c>
    </row>
    <row r="423" spans="1:27" ht="12.75">
      <c r="A423" s="3" t="s">
        <v>1936</v>
      </c>
      <c r="B423" s="3" t="s">
        <v>2553</v>
      </c>
      <c r="C423" s="3" t="s">
        <v>2554</v>
      </c>
      <c r="D423" s="3" t="s">
        <v>2650</v>
      </c>
      <c r="E423" s="3" t="s">
        <v>1589</v>
      </c>
      <c r="F423" s="3" t="s">
        <v>2652</v>
      </c>
      <c r="G423" s="3" t="s">
        <v>1591</v>
      </c>
      <c r="H423" s="3" t="s">
        <v>1592</v>
      </c>
      <c r="I423" s="3" t="s">
        <v>2651</v>
      </c>
      <c r="J423" s="4">
        <v>1</v>
      </c>
      <c r="K423" s="4">
        <v>0</v>
      </c>
      <c r="L423" s="4">
        <v>7</v>
      </c>
      <c r="M423" s="4">
        <v>0</v>
      </c>
      <c r="N423" s="5">
        <v>259016</v>
      </c>
      <c r="O423" s="5">
        <v>0</v>
      </c>
      <c r="P423" s="5">
        <v>1550</v>
      </c>
      <c r="Q423" s="5">
        <v>0</v>
      </c>
      <c r="R423" s="5">
        <v>0</v>
      </c>
      <c r="S423" s="5">
        <v>0</v>
      </c>
      <c r="T423" s="5">
        <f t="shared" si="69"/>
        <v>260566</v>
      </c>
      <c r="U423" s="5">
        <f>SUM(S423:S423)</f>
        <v>0</v>
      </c>
      <c r="V423" s="5">
        <v>0</v>
      </c>
      <c r="W423" s="5">
        <v>0</v>
      </c>
      <c r="X423" s="5">
        <v>0</v>
      </c>
      <c r="Y423" s="5">
        <v>260566</v>
      </c>
      <c r="Z423" s="5">
        <f t="shared" si="70"/>
        <v>260566</v>
      </c>
      <c r="AA423" s="20">
        <f t="shared" si="68"/>
        <v>0</v>
      </c>
    </row>
    <row r="424" spans="1:27" ht="12.75">
      <c r="A424" s="3" t="s">
        <v>1936</v>
      </c>
      <c r="B424" s="3" t="s">
        <v>2553</v>
      </c>
      <c r="C424" s="3" t="s">
        <v>2554</v>
      </c>
      <c r="D424" s="3" t="s">
        <v>2653</v>
      </c>
      <c r="E424" s="3" t="s">
        <v>1589</v>
      </c>
      <c r="F424" s="3" t="s">
        <v>2655</v>
      </c>
      <c r="G424" s="3" t="s">
        <v>1591</v>
      </c>
      <c r="H424" s="3" t="s">
        <v>1592</v>
      </c>
      <c r="I424" s="3" t="s">
        <v>2401</v>
      </c>
      <c r="J424" s="4">
        <v>0</v>
      </c>
      <c r="K424" s="4">
        <v>0</v>
      </c>
      <c r="L424" s="4">
        <v>0</v>
      </c>
      <c r="M424" s="4">
        <v>0</v>
      </c>
      <c r="N424" s="5">
        <v>0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5">
        <f t="shared" si="69"/>
        <v>0</v>
      </c>
      <c r="U424" s="5">
        <v>45925</v>
      </c>
      <c r="V424" s="5">
        <v>0</v>
      </c>
      <c r="W424" s="5">
        <v>0</v>
      </c>
      <c r="X424" s="5">
        <v>0</v>
      </c>
      <c r="Y424" s="5">
        <v>45925</v>
      </c>
      <c r="Z424" s="5">
        <f t="shared" si="70"/>
        <v>45925</v>
      </c>
      <c r="AA424" s="20">
        <f t="shared" si="68"/>
        <v>0</v>
      </c>
    </row>
    <row r="425" spans="1:27" ht="12.75">
      <c r="A425" s="3" t="s">
        <v>1964</v>
      </c>
      <c r="B425" s="3" t="s">
        <v>2553</v>
      </c>
      <c r="C425" s="3" t="s">
        <v>2554</v>
      </c>
      <c r="D425" s="3" t="s">
        <v>2656</v>
      </c>
      <c r="E425" s="3" t="s">
        <v>1589</v>
      </c>
      <c r="F425" s="3" t="s">
        <v>2658</v>
      </c>
      <c r="G425" s="3" t="s">
        <v>1591</v>
      </c>
      <c r="H425" s="3" t="s">
        <v>1592</v>
      </c>
      <c r="I425" s="3" t="s">
        <v>2657</v>
      </c>
      <c r="J425" s="4">
        <v>1</v>
      </c>
      <c r="K425" s="4">
        <v>0</v>
      </c>
      <c r="L425" s="4">
        <v>2</v>
      </c>
      <c r="M425" s="4">
        <v>0</v>
      </c>
      <c r="N425" s="5">
        <v>190668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f t="shared" si="69"/>
        <v>190668</v>
      </c>
      <c r="U425" s="5">
        <f>SUM(S425:S425)</f>
        <v>0</v>
      </c>
      <c r="V425" s="5">
        <v>0</v>
      </c>
      <c r="W425" s="5">
        <v>0</v>
      </c>
      <c r="X425" s="5">
        <v>0</v>
      </c>
      <c r="Y425" s="5">
        <v>190668</v>
      </c>
      <c r="Z425" s="5">
        <f t="shared" si="70"/>
        <v>190668</v>
      </c>
      <c r="AA425" s="20">
        <f t="shared" si="68"/>
        <v>0</v>
      </c>
    </row>
    <row r="426" spans="1:27" ht="12.75">
      <c r="A426" s="3" t="s">
        <v>1964</v>
      </c>
      <c r="B426" s="3" t="s">
        <v>2553</v>
      </c>
      <c r="C426" s="3" t="s">
        <v>2554</v>
      </c>
      <c r="D426" s="3" t="s">
        <v>2659</v>
      </c>
      <c r="E426" s="3" t="s">
        <v>1589</v>
      </c>
      <c r="F426" s="3" t="s">
        <v>2661</v>
      </c>
      <c r="G426" s="3" t="s">
        <v>1591</v>
      </c>
      <c r="H426" s="3" t="s">
        <v>1592</v>
      </c>
      <c r="I426" s="3" t="s">
        <v>2402</v>
      </c>
      <c r="J426" s="4">
        <v>0</v>
      </c>
      <c r="K426" s="4">
        <v>0</v>
      </c>
      <c r="L426" s="4">
        <v>0</v>
      </c>
      <c r="M426" s="4">
        <v>0</v>
      </c>
      <c r="N426" s="5">
        <v>0</v>
      </c>
      <c r="O426" s="5">
        <v>0</v>
      </c>
      <c r="P426" s="5">
        <v>1000</v>
      </c>
      <c r="Q426" s="5">
        <v>0</v>
      </c>
      <c r="R426" s="5">
        <v>0</v>
      </c>
      <c r="S426" s="5">
        <v>0</v>
      </c>
      <c r="T426" s="5">
        <f t="shared" si="69"/>
        <v>1000</v>
      </c>
      <c r="U426" s="5">
        <v>7360</v>
      </c>
      <c r="V426" s="5">
        <v>0</v>
      </c>
      <c r="W426" s="5">
        <v>0</v>
      </c>
      <c r="X426" s="5">
        <v>0</v>
      </c>
      <c r="Y426" s="5">
        <v>8360</v>
      </c>
      <c r="Z426" s="5">
        <f t="shared" si="70"/>
        <v>8360</v>
      </c>
      <c r="AA426" s="20">
        <f t="shared" si="68"/>
        <v>0</v>
      </c>
    </row>
    <row r="427" spans="1:27" ht="12.75">
      <c r="A427" s="3" t="s">
        <v>2595</v>
      </c>
      <c r="B427" s="3" t="s">
        <v>2553</v>
      </c>
      <c r="C427" s="3" t="s">
        <v>2554</v>
      </c>
      <c r="D427" s="3" t="s">
        <v>2662</v>
      </c>
      <c r="E427" s="3" t="s">
        <v>1589</v>
      </c>
      <c r="F427" s="3" t="s">
        <v>2664</v>
      </c>
      <c r="G427" s="3" t="s">
        <v>1591</v>
      </c>
      <c r="H427" s="3" t="s">
        <v>1592</v>
      </c>
      <c r="I427" s="3" t="s">
        <v>2403</v>
      </c>
      <c r="J427" s="4">
        <v>0</v>
      </c>
      <c r="K427" s="4">
        <v>0</v>
      </c>
      <c r="L427" s="4">
        <v>0</v>
      </c>
      <c r="M427" s="4">
        <v>0</v>
      </c>
      <c r="N427" s="5">
        <v>0</v>
      </c>
      <c r="O427" s="5">
        <v>0</v>
      </c>
      <c r="P427" s="5">
        <v>11000</v>
      </c>
      <c r="Q427" s="5">
        <v>0</v>
      </c>
      <c r="R427" s="5">
        <v>0</v>
      </c>
      <c r="S427" s="5">
        <v>0</v>
      </c>
      <c r="T427" s="5">
        <f t="shared" si="69"/>
        <v>11000</v>
      </c>
      <c r="U427" s="5">
        <v>93910</v>
      </c>
      <c r="V427" s="5">
        <v>0</v>
      </c>
      <c r="W427" s="5">
        <v>0</v>
      </c>
      <c r="X427" s="5">
        <v>0</v>
      </c>
      <c r="Y427" s="5">
        <v>104910</v>
      </c>
      <c r="Z427" s="5">
        <f t="shared" si="70"/>
        <v>104910</v>
      </c>
      <c r="AA427" s="20">
        <f t="shared" si="68"/>
        <v>0</v>
      </c>
    </row>
    <row r="428" spans="1:27" ht="12.75">
      <c r="A428" s="3" t="s">
        <v>2595</v>
      </c>
      <c r="B428" s="3" t="s">
        <v>2553</v>
      </c>
      <c r="C428" s="3" t="s">
        <v>2554</v>
      </c>
      <c r="D428" s="3" t="s">
        <v>2665</v>
      </c>
      <c r="E428" s="3" t="s">
        <v>1589</v>
      </c>
      <c r="F428" s="3" t="s">
        <v>2667</v>
      </c>
      <c r="G428" s="3" t="s">
        <v>1591</v>
      </c>
      <c r="H428" s="3" t="s">
        <v>1592</v>
      </c>
      <c r="I428" s="3" t="s">
        <v>2404</v>
      </c>
      <c r="J428" s="4">
        <v>0</v>
      </c>
      <c r="K428" s="4">
        <v>0</v>
      </c>
      <c r="L428" s="4">
        <v>0</v>
      </c>
      <c r="M428" s="4">
        <v>0</v>
      </c>
      <c r="N428" s="5">
        <v>0</v>
      </c>
      <c r="O428" s="5">
        <v>0</v>
      </c>
      <c r="P428" s="5">
        <v>5000</v>
      </c>
      <c r="Q428" s="5">
        <v>0</v>
      </c>
      <c r="R428" s="5">
        <v>0</v>
      </c>
      <c r="S428" s="5">
        <v>0</v>
      </c>
      <c r="T428" s="5">
        <f t="shared" si="69"/>
        <v>5000</v>
      </c>
      <c r="U428" s="5">
        <v>38616</v>
      </c>
      <c r="V428" s="5">
        <v>0</v>
      </c>
      <c r="W428" s="5">
        <v>0</v>
      </c>
      <c r="X428" s="5">
        <v>0</v>
      </c>
      <c r="Y428" s="5">
        <v>43616</v>
      </c>
      <c r="Z428" s="5">
        <f t="shared" si="70"/>
        <v>43616</v>
      </c>
      <c r="AA428" s="20">
        <f t="shared" si="68"/>
        <v>0</v>
      </c>
    </row>
    <row r="429" spans="1:27" ht="12.75">
      <c r="A429" s="3" t="s">
        <v>2595</v>
      </c>
      <c r="B429" s="3" t="s">
        <v>2553</v>
      </c>
      <c r="C429" s="3" t="s">
        <v>2554</v>
      </c>
      <c r="D429" s="3" t="s">
        <v>2668</v>
      </c>
      <c r="E429" s="3" t="s">
        <v>1589</v>
      </c>
      <c r="F429" s="3" t="s">
        <v>2670</v>
      </c>
      <c r="G429" s="3" t="s">
        <v>1591</v>
      </c>
      <c r="H429" s="3" t="s">
        <v>1592</v>
      </c>
      <c r="I429" s="3" t="s">
        <v>2405</v>
      </c>
      <c r="J429" s="4">
        <v>0</v>
      </c>
      <c r="K429" s="4">
        <v>0</v>
      </c>
      <c r="L429" s="4">
        <v>0</v>
      </c>
      <c r="M429" s="4">
        <v>0</v>
      </c>
      <c r="N429" s="5">
        <v>0</v>
      </c>
      <c r="O429" s="5">
        <v>0</v>
      </c>
      <c r="P429" s="5">
        <v>18000</v>
      </c>
      <c r="Q429" s="5">
        <v>0</v>
      </c>
      <c r="R429" s="5">
        <v>0</v>
      </c>
      <c r="S429" s="5">
        <v>0</v>
      </c>
      <c r="T429" s="5">
        <f t="shared" si="69"/>
        <v>18000</v>
      </c>
      <c r="U429" s="5">
        <v>396464</v>
      </c>
      <c r="V429" s="5">
        <v>0</v>
      </c>
      <c r="W429" s="5">
        <v>0</v>
      </c>
      <c r="X429" s="5">
        <v>0</v>
      </c>
      <c r="Y429" s="5">
        <v>414464</v>
      </c>
      <c r="Z429" s="5">
        <f t="shared" si="70"/>
        <v>414464</v>
      </c>
      <c r="AA429" s="20">
        <f t="shared" si="68"/>
        <v>0</v>
      </c>
    </row>
    <row r="430" spans="1:27" ht="12.75">
      <c r="A430" s="3" t="s">
        <v>2595</v>
      </c>
      <c r="B430" s="3" t="s">
        <v>2553</v>
      </c>
      <c r="C430" s="3" t="s">
        <v>2554</v>
      </c>
      <c r="D430" s="3" t="s">
        <v>2671</v>
      </c>
      <c r="E430" s="3" t="s">
        <v>1589</v>
      </c>
      <c r="F430" s="3" t="s">
        <v>2673</v>
      </c>
      <c r="G430" s="3" t="s">
        <v>1591</v>
      </c>
      <c r="H430" s="3" t="s">
        <v>1592</v>
      </c>
      <c r="I430" s="3" t="s">
        <v>2672</v>
      </c>
      <c r="J430" s="4">
        <v>0</v>
      </c>
      <c r="K430" s="4">
        <v>0</v>
      </c>
      <c r="L430" s="4">
        <v>0</v>
      </c>
      <c r="M430" s="4">
        <v>0</v>
      </c>
      <c r="N430" s="5">
        <v>0</v>
      </c>
      <c r="O430" s="5">
        <v>0</v>
      </c>
      <c r="P430" s="5">
        <v>41000</v>
      </c>
      <c r="Q430" s="5">
        <v>0</v>
      </c>
      <c r="R430" s="5">
        <v>0</v>
      </c>
      <c r="S430" s="5">
        <v>0</v>
      </c>
      <c r="T430" s="5">
        <f t="shared" si="69"/>
        <v>41000</v>
      </c>
      <c r="U430" s="5">
        <v>58659</v>
      </c>
      <c r="V430" s="5">
        <v>0</v>
      </c>
      <c r="W430" s="5">
        <v>0</v>
      </c>
      <c r="X430" s="5">
        <v>0</v>
      </c>
      <c r="Y430" s="5">
        <v>99659</v>
      </c>
      <c r="Z430" s="5">
        <f t="shared" si="70"/>
        <v>99659</v>
      </c>
      <c r="AA430" s="20">
        <f t="shared" si="68"/>
        <v>0</v>
      </c>
    </row>
    <row r="431" spans="1:27" ht="12.75">
      <c r="A431" s="3" t="s">
        <v>2595</v>
      </c>
      <c r="B431" s="3" t="s">
        <v>2553</v>
      </c>
      <c r="C431" s="3" t="s">
        <v>2554</v>
      </c>
      <c r="D431" s="3" t="s">
        <v>2674</v>
      </c>
      <c r="E431" s="3" t="s">
        <v>1589</v>
      </c>
      <c r="F431" s="3" t="s">
        <v>2676</v>
      </c>
      <c r="G431" s="3" t="s">
        <v>1591</v>
      </c>
      <c r="H431" s="3" t="s">
        <v>1592</v>
      </c>
      <c r="I431" s="3" t="s">
        <v>2406</v>
      </c>
      <c r="J431" s="4">
        <v>0</v>
      </c>
      <c r="K431" s="4">
        <v>0</v>
      </c>
      <c r="L431" s="4">
        <v>0</v>
      </c>
      <c r="M431" s="4">
        <v>0</v>
      </c>
      <c r="N431" s="5">
        <v>0</v>
      </c>
      <c r="O431" s="5">
        <v>0</v>
      </c>
      <c r="P431" s="5">
        <v>124000</v>
      </c>
      <c r="Q431" s="5">
        <v>0</v>
      </c>
      <c r="R431" s="5">
        <v>0</v>
      </c>
      <c r="S431" s="5">
        <v>0</v>
      </c>
      <c r="T431" s="5">
        <f t="shared" si="69"/>
        <v>124000</v>
      </c>
      <c r="U431" s="5">
        <v>43040</v>
      </c>
      <c r="V431" s="5">
        <v>0</v>
      </c>
      <c r="W431" s="5">
        <v>0</v>
      </c>
      <c r="X431" s="5">
        <v>0</v>
      </c>
      <c r="Y431" s="5">
        <v>167040</v>
      </c>
      <c r="Z431" s="5">
        <f t="shared" si="70"/>
        <v>167040</v>
      </c>
      <c r="AA431" s="20">
        <f t="shared" si="68"/>
        <v>0</v>
      </c>
    </row>
    <row r="432" spans="1:27" ht="12.75">
      <c r="A432" s="3" t="s">
        <v>2595</v>
      </c>
      <c r="B432" s="3" t="s">
        <v>2553</v>
      </c>
      <c r="C432" s="3" t="s">
        <v>2554</v>
      </c>
      <c r="D432" s="3" t="s">
        <v>2677</v>
      </c>
      <c r="E432" s="3" t="s">
        <v>1589</v>
      </c>
      <c r="F432" s="3" t="s">
        <v>2679</v>
      </c>
      <c r="G432" s="3" t="s">
        <v>1591</v>
      </c>
      <c r="H432" s="3" t="s">
        <v>1592</v>
      </c>
      <c r="I432" s="3" t="s">
        <v>2407</v>
      </c>
      <c r="J432" s="4">
        <v>0</v>
      </c>
      <c r="K432" s="4">
        <v>0</v>
      </c>
      <c r="L432" s="4">
        <v>0</v>
      </c>
      <c r="M432" s="4">
        <v>0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f t="shared" si="69"/>
        <v>0</v>
      </c>
      <c r="U432" s="5">
        <v>367906</v>
      </c>
      <c r="V432" s="5">
        <v>0</v>
      </c>
      <c r="W432" s="5">
        <v>0</v>
      </c>
      <c r="X432" s="5">
        <v>0</v>
      </c>
      <c r="Y432" s="5">
        <v>367906</v>
      </c>
      <c r="Z432" s="5">
        <f t="shared" si="70"/>
        <v>367906</v>
      </c>
      <c r="AA432" s="20">
        <f t="shared" si="68"/>
        <v>0</v>
      </c>
    </row>
    <row r="433" spans="1:27" ht="12.75">
      <c r="A433" s="3" t="s">
        <v>1584</v>
      </c>
      <c r="B433" s="3" t="s">
        <v>2553</v>
      </c>
      <c r="C433" s="3" t="s">
        <v>2554</v>
      </c>
      <c r="D433" s="3" t="s">
        <v>2680</v>
      </c>
      <c r="E433" s="3" t="s">
        <v>1589</v>
      </c>
      <c r="F433" s="3" t="s">
        <v>2682</v>
      </c>
      <c r="G433" s="3" t="s">
        <v>1591</v>
      </c>
      <c r="H433" s="3" t="s">
        <v>1592</v>
      </c>
      <c r="I433" s="3" t="s">
        <v>2409</v>
      </c>
      <c r="J433" s="4">
        <v>0</v>
      </c>
      <c r="K433" s="4">
        <v>0</v>
      </c>
      <c r="L433" s="4">
        <v>0</v>
      </c>
      <c r="M433" s="4"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f t="shared" si="69"/>
        <v>0</v>
      </c>
      <c r="U433" s="5">
        <v>20841</v>
      </c>
      <c r="V433" s="5">
        <v>0</v>
      </c>
      <c r="W433" s="5">
        <v>0</v>
      </c>
      <c r="X433" s="5">
        <v>0</v>
      </c>
      <c r="Y433" s="5">
        <v>20841</v>
      </c>
      <c r="Z433" s="5">
        <f t="shared" si="70"/>
        <v>20841</v>
      </c>
      <c r="AA433" s="20">
        <f t="shared" si="68"/>
        <v>0</v>
      </c>
    </row>
    <row r="434" spans="1:28" ht="13.5" thickBot="1">
      <c r="A434" s="3" t="s">
        <v>1584</v>
      </c>
      <c r="B434" s="3" t="s">
        <v>2553</v>
      </c>
      <c r="C434" s="3" t="s">
        <v>2554</v>
      </c>
      <c r="D434" s="3" t="s">
        <v>2683</v>
      </c>
      <c r="E434" s="3" t="s">
        <v>1589</v>
      </c>
      <c r="F434" s="3" t="s">
        <v>2685</v>
      </c>
      <c r="G434" s="3" t="s">
        <v>1591</v>
      </c>
      <c r="H434" s="3" t="s">
        <v>1592</v>
      </c>
      <c r="I434" s="3" t="s">
        <v>2408</v>
      </c>
      <c r="J434" s="6">
        <v>0</v>
      </c>
      <c r="K434" s="6">
        <v>0</v>
      </c>
      <c r="L434" s="6">
        <v>0</v>
      </c>
      <c r="M434" s="6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f t="shared" si="69"/>
        <v>0</v>
      </c>
      <c r="U434" s="7">
        <v>13894</v>
      </c>
      <c r="V434" s="7">
        <v>0</v>
      </c>
      <c r="W434" s="7">
        <v>0</v>
      </c>
      <c r="X434" s="7">
        <v>0</v>
      </c>
      <c r="Y434" s="7">
        <v>13894</v>
      </c>
      <c r="Z434" s="7">
        <f t="shared" si="70"/>
        <v>13894</v>
      </c>
      <c r="AA434" s="20">
        <f t="shared" si="68"/>
        <v>0</v>
      </c>
      <c r="AB434" s="3" t="s">
        <v>2540</v>
      </c>
    </row>
    <row r="435" spans="10:27" ht="12.75">
      <c r="J435" s="16"/>
      <c r="K435" s="16"/>
      <c r="L435" s="16"/>
      <c r="M435" s="16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20"/>
    </row>
    <row r="436" spans="9:93" ht="12.75">
      <c r="I436" s="3" t="s">
        <v>179</v>
      </c>
      <c r="J436" s="11">
        <f>SUM(J392:J434)</f>
        <v>18.834</v>
      </c>
      <c r="K436" s="11">
        <f>SUM(K392:K434)</f>
        <v>35</v>
      </c>
      <c r="L436" s="11">
        <f>SUM(L392:L434)</f>
        <v>150.166</v>
      </c>
      <c r="M436" s="11">
        <f>SUM(M392:M434)</f>
        <v>8</v>
      </c>
      <c r="N436" s="5">
        <f>SUM(N392:N434)</f>
        <v>7094311</v>
      </c>
      <c r="O436" s="5">
        <f aca="true" t="shared" si="71" ref="O436:AX436">SUM(O392:O434)</f>
        <v>23198</v>
      </c>
      <c r="P436" s="5">
        <f t="shared" si="71"/>
        <v>1124413</v>
      </c>
      <c r="Q436" s="5">
        <f t="shared" si="71"/>
        <v>0</v>
      </c>
      <c r="R436" s="5">
        <f t="shared" si="71"/>
        <v>2169581</v>
      </c>
      <c r="S436" s="5">
        <f t="shared" si="71"/>
        <v>0</v>
      </c>
      <c r="T436" s="5">
        <f t="shared" si="71"/>
        <v>10411503</v>
      </c>
      <c r="U436" s="5">
        <f t="shared" si="71"/>
        <v>5722232</v>
      </c>
      <c r="V436" s="5">
        <f t="shared" si="71"/>
        <v>0</v>
      </c>
      <c r="W436" s="5">
        <f t="shared" si="71"/>
        <v>0</v>
      </c>
      <c r="X436" s="5">
        <f t="shared" si="71"/>
        <v>153717</v>
      </c>
      <c r="Y436" s="5">
        <f t="shared" si="71"/>
        <v>16287452</v>
      </c>
      <c r="Z436" s="5">
        <f t="shared" si="70"/>
        <v>16287452</v>
      </c>
      <c r="AA436" s="5">
        <f t="shared" si="71"/>
        <v>0</v>
      </c>
      <c r="AB436" s="5">
        <f t="shared" si="71"/>
        <v>0</v>
      </c>
      <c r="AC436" s="5">
        <f t="shared" si="71"/>
        <v>0</v>
      </c>
      <c r="AD436" s="5">
        <f t="shared" si="71"/>
        <v>0</v>
      </c>
      <c r="AE436" s="5">
        <f t="shared" si="71"/>
        <v>0</v>
      </c>
      <c r="AF436" s="5">
        <f t="shared" si="71"/>
        <v>0</v>
      </c>
      <c r="AG436" s="5">
        <f t="shared" si="71"/>
        <v>0</v>
      </c>
      <c r="AH436" s="5">
        <f t="shared" si="71"/>
        <v>0</v>
      </c>
      <c r="AI436" s="5">
        <f t="shared" si="71"/>
        <v>0</v>
      </c>
      <c r="AJ436" s="5">
        <f t="shared" si="71"/>
        <v>0</v>
      </c>
      <c r="AK436" s="5">
        <f t="shared" si="71"/>
        <v>0</v>
      </c>
      <c r="AL436" s="5">
        <f t="shared" si="71"/>
        <v>0</v>
      </c>
      <c r="AM436" s="5">
        <f t="shared" si="71"/>
        <v>0</v>
      </c>
      <c r="AN436" s="5">
        <f t="shared" si="71"/>
        <v>0</v>
      </c>
      <c r="AO436" s="5">
        <f t="shared" si="71"/>
        <v>0</v>
      </c>
      <c r="AP436" s="5">
        <f t="shared" si="71"/>
        <v>0</v>
      </c>
      <c r="AQ436" s="5">
        <f t="shared" si="71"/>
        <v>0</v>
      </c>
      <c r="AR436" s="5">
        <f t="shared" si="71"/>
        <v>0</v>
      </c>
      <c r="AS436" s="5">
        <f t="shared" si="71"/>
        <v>0</v>
      </c>
      <c r="AT436" s="5">
        <f t="shared" si="71"/>
        <v>0</v>
      </c>
      <c r="AU436" s="5">
        <f t="shared" si="71"/>
        <v>0</v>
      </c>
      <c r="AV436" s="5">
        <f t="shared" si="71"/>
        <v>0</v>
      </c>
      <c r="AW436" s="5">
        <f t="shared" si="71"/>
        <v>0</v>
      </c>
      <c r="AX436" s="5">
        <f t="shared" si="71"/>
        <v>0</v>
      </c>
      <c r="AY436" s="5">
        <f aca="true" t="shared" si="72" ref="AY436:BZ436">SUM(AY392:AY434)</f>
        <v>0</v>
      </c>
      <c r="AZ436" s="5">
        <f t="shared" si="72"/>
        <v>0</v>
      </c>
      <c r="BA436" s="5">
        <f t="shared" si="72"/>
        <v>0</v>
      </c>
      <c r="BB436" s="5">
        <f t="shared" si="72"/>
        <v>0</v>
      </c>
      <c r="BC436" s="5">
        <f t="shared" si="72"/>
        <v>0</v>
      </c>
      <c r="BD436" s="5">
        <f t="shared" si="72"/>
        <v>0</v>
      </c>
      <c r="BE436" s="5">
        <f t="shared" si="72"/>
        <v>0</v>
      </c>
      <c r="BF436" s="5">
        <f t="shared" si="72"/>
        <v>0</v>
      </c>
      <c r="BG436" s="5">
        <f t="shared" si="72"/>
        <v>0</v>
      </c>
      <c r="BH436" s="5">
        <f t="shared" si="72"/>
        <v>0</v>
      </c>
      <c r="BI436" s="5">
        <f t="shared" si="72"/>
        <v>0</v>
      </c>
      <c r="BJ436" s="5">
        <f t="shared" si="72"/>
        <v>0</v>
      </c>
      <c r="BK436" s="5">
        <f t="shared" si="72"/>
        <v>0</v>
      </c>
      <c r="BL436" s="5">
        <f t="shared" si="72"/>
        <v>0</v>
      </c>
      <c r="BM436" s="5">
        <f t="shared" si="72"/>
        <v>0</v>
      </c>
      <c r="BN436" s="5">
        <f t="shared" si="72"/>
        <v>0</v>
      </c>
      <c r="BO436" s="5">
        <f t="shared" si="72"/>
        <v>0</v>
      </c>
      <c r="BP436" s="5">
        <f t="shared" si="72"/>
        <v>0</v>
      </c>
      <c r="BQ436" s="5">
        <f t="shared" si="72"/>
        <v>0</v>
      </c>
      <c r="BR436" s="5">
        <f t="shared" si="72"/>
        <v>0</v>
      </c>
      <c r="BS436" s="5">
        <f t="shared" si="72"/>
        <v>0</v>
      </c>
      <c r="BT436" s="5">
        <f t="shared" si="72"/>
        <v>0</v>
      </c>
      <c r="BU436" s="5">
        <f t="shared" si="72"/>
        <v>0</v>
      </c>
      <c r="BV436" s="5">
        <f t="shared" si="72"/>
        <v>0</v>
      </c>
      <c r="BW436" s="5">
        <f t="shared" si="72"/>
        <v>0</v>
      </c>
      <c r="BX436" s="5">
        <f t="shared" si="72"/>
        <v>0</v>
      </c>
      <c r="BY436" s="5">
        <f t="shared" si="72"/>
        <v>0</v>
      </c>
      <c r="BZ436" s="5">
        <f t="shared" si="72"/>
        <v>0</v>
      </c>
      <c r="CA436" s="5">
        <f aca="true" t="shared" si="73" ref="CA436:CO436">SUM(CA392:CA434)</f>
        <v>0</v>
      </c>
      <c r="CB436" s="5">
        <f t="shared" si="73"/>
        <v>0</v>
      </c>
      <c r="CC436" s="5">
        <f t="shared" si="73"/>
        <v>0</v>
      </c>
      <c r="CD436" s="5">
        <f t="shared" si="73"/>
        <v>0</v>
      </c>
      <c r="CE436" s="5">
        <f t="shared" si="73"/>
        <v>0</v>
      </c>
      <c r="CF436" s="5">
        <f t="shared" si="73"/>
        <v>0</v>
      </c>
      <c r="CG436" s="5">
        <f t="shared" si="73"/>
        <v>0</v>
      </c>
      <c r="CH436" s="5">
        <f t="shared" si="73"/>
        <v>0</v>
      </c>
      <c r="CI436" s="5">
        <f t="shared" si="73"/>
        <v>0</v>
      </c>
      <c r="CJ436" s="5">
        <f t="shared" si="73"/>
        <v>0</v>
      </c>
      <c r="CK436" s="5">
        <f t="shared" si="73"/>
        <v>0</v>
      </c>
      <c r="CL436" s="5">
        <f t="shared" si="73"/>
        <v>0</v>
      </c>
      <c r="CM436" s="5">
        <f t="shared" si="73"/>
        <v>0</v>
      </c>
      <c r="CN436" s="5">
        <f t="shared" si="73"/>
        <v>0</v>
      </c>
      <c r="CO436" s="5">
        <f t="shared" si="73"/>
        <v>0</v>
      </c>
    </row>
    <row r="437" spans="10:27" ht="12.75">
      <c r="J437" s="4"/>
      <c r="K437" s="4"/>
      <c r="L437" s="4"/>
      <c r="M437" s="4"/>
      <c r="N437" s="5"/>
      <c r="O437" s="5"/>
      <c r="P437" s="5"/>
      <c r="Q437" s="5"/>
      <c r="R437" s="5"/>
      <c r="S437" s="5"/>
      <c r="T437" s="5" t="s">
        <v>2540</v>
      </c>
      <c r="U437" s="5"/>
      <c r="V437" s="5"/>
      <c r="W437" s="5"/>
      <c r="X437" s="5"/>
      <c r="Y437" s="5"/>
      <c r="Z437" s="5" t="s">
        <v>2540</v>
      </c>
      <c r="AA437" s="20" t="s">
        <v>2540</v>
      </c>
    </row>
    <row r="438" spans="9:27" ht="12.75">
      <c r="I438" s="3" t="s">
        <v>2687</v>
      </c>
      <c r="J438" s="4"/>
      <c r="K438" s="4"/>
      <c r="L438" s="4"/>
      <c r="M438" s="4"/>
      <c r="N438" s="5"/>
      <c r="O438" s="5"/>
      <c r="P438" s="5"/>
      <c r="Q438" s="5"/>
      <c r="R438" s="5"/>
      <c r="S438" s="5"/>
      <c r="T438" s="5" t="s">
        <v>2540</v>
      </c>
      <c r="U438" s="5"/>
      <c r="V438" s="5"/>
      <c r="W438" s="5"/>
      <c r="X438" s="5"/>
      <c r="Y438" s="5"/>
      <c r="Z438" s="5" t="s">
        <v>2540</v>
      </c>
      <c r="AA438" s="20" t="s">
        <v>2540</v>
      </c>
    </row>
    <row r="439" spans="10:27" ht="12.75">
      <c r="J439" s="4"/>
      <c r="K439" s="4"/>
      <c r="L439" s="4"/>
      <c r="M439" s="4"/>
      <c r="N439" s="5"/>
      <c r="O439" s="5"/>
      <c r="P439" s="5"/>
      <c r="Q439" s="5"/>
      <c r="R439" s="5"/>
      <c r="S439" s="5"/>
      <c r="T439" s="5" t="s">
        <v>2540</v>
      </c>
      <c r="U439" s="5"/>
      <c r="V439" s="5"/>
      <c r="W439" s="5"/>
      <c r="X439" s="5"/>
      <c r="Y439" s="5"/>
      <c r="Z439" s="5" t="s">
        <v>2540</v>
      </c>
      <c r="AA439" s="20" t="s">
        <v>2540</v>
      </c>
    </row>
    <row r="440" spans="1:27" ht="12.75">
      <c r="A440" s="3" t="s">
        <v>1668</v>
      </c>
      <c r="B440" s="3" t="s">
        <v>2686</v>
      </c>
      <c r="C440" s="3" t="s">
        <v>2687</v>
      </c>
      <c r="D440" s="3" t="s">
        <v>2688</v>
      </c>
      <c r="E440" s="3" t="s">
        <v>2690</v>
      </c>
      <c r="F440" s="3" t="s">
        <v>2691</v>
      </c>
      <c r="G440" s="3" t="s">
        <v>1591</v>
      </c>
      <c r="H440" s="3" t="s">
        <v>1592</v>
      </c>
      <c r="I440" s="3" t="s">
        <v>2689</v>
      </c>
      <c r="J440" s="4">
        <v>0</v>
      </c>
      <c r="K440" s="4">
        <v>0</v>
      </c>
      <c r="L440" s="4">
        <v>0</v>
      </c>
      <c r="M440" s="4">
        <v>0</v>
      </c>
      <c r="N440" s="5">
        <v>0</v>
      </c>
      <c r="O440" s="5">
        <v>0</v>
      </c>
      <c r="P440" s="5">
        <v>0</v>
      </c>
      <c r="Q440" s="5">
        <v>0</v>
      </c>
      <c r="R440" s="5">
        <f>651169-4162</f>
        <v>647007</v>
      </c>
      <c r="S440" s="5">
        <v>0</v>
      </c>
      <c r="T440" s="5">
        <f t="shared" si="69"/>
        <v>647007</v>
      </c>
      <c r="U440" s="5" t="s">
        <v>2540</v>
      </c>
      <c r="V440" s="5">
        <v>0</v>
      </c>
      <c r="W440" s="5">
        <v>0</v>
      </c>
      <c r="X440" s="5">
        <v>0</v>
      </c>
      <c r="Y440" s="5">
        <v>647007</v>
      </c>
      <c r="Z440" s="5">
        <f t="shared" si="70"/>
        <v>647007</v>
      </c>
      <c r="AA440" s="20">
        <f t="shared" si="68"/>
        <v>0</v>
      </c>
    </row>
    <row r="441" spans="1:27" ht="12.75">
      <c r="A441" s="3" t="s">
        <v>1668</v>
      </c>
      <c r="B441" s="3" t="s">
        <v>2686</v>
      </c>
      <c r="C441" s="3" t="s">
        <v>2687</v>
      </c>
      <c r="D441" s="3" t="s">
        <v>2692</v>
      </c>
      <c r="E441" s="3" t="s">
        <v>2690</v>
      </c>
      <c r="F441" s="3" t="s">
        <v>2694</v>
      </c>
      <c r="G441" s="3" t="s">
        <v>1591</v>
      </c>
      <c r="H441" s="3" t="s">
        <v>1592</v>
      </c>
      <c r="I441" s="3" t="s">
        <v>2693</v>
      </c>
      <c r="J441" s="4">
        <v>0</v>
      </c>
      <c r="K441" s="4">
        <v>0</v>
      </c>
      <c r="L441" s="4">
        <v>0</v>
      </c>
      <c r="M441" s="4">
        <v>0</v>
      </c>
      <c r="N441" s="5">
        <v>0</v>
      </c>
      <c r="O441" s="5">
        <v>0</v>
      </c>
      <c r="P441" s="5">
        <v>0</v>
      </c>
      <c r="Q441" s="5">
        <v>0</v>
      </c>
      <c r="R441" s="5">
        <v>855</v>
      </c>
      <c r="S441" s="5">
        <v>0</v>
      </c>
      <c r="T441" s="5">
        <f t="shared" si="69"/>
        <v>855</v>
      </c>
      <c r="U441" s="5">
        <f>SUM(S441:S441)</f>
        <v>0</v>
      </c>
      <c r="V441" s="5">
        <v>0</v>
      </c>
      <c r="W441" s="5">
        <v>0</v>
      </c>
      <c r="X441" s="5">
        <v>0</v>
      </c>
      <c r="Y441" s="5">
        <v>855</v>
      </c>
      <c r="Z441" s="5">
        <f t="shared" si="70"/>
        <v>855</v>
      </c>
      <c r="AA441" s="20">
        <f t="shared" si="68"/>
        <v>0</v>
      </c>
    </row>
    <row r="442" spans="1:27" ht="12.75">
      <c r="A442" s="3" t="s">
        <v>1668</v>
      </c>
      <c r="B442" s="3" t="s">
        <v>2686</v>
      </c>
      <c r="C442" s="3" t="s">
        <v>2687</v>
      </c>
      <c r="D442" s="3" t="s">
        <v>2695</v>
      </c>
      <c r="E442" s="3" t="s">
        <v>2690</v>
      </c>
      <c r="F442" s="3" t="s">
        <v>2697</v>
      </c>
      <c r="G442" s="3" t="s">
        <v>1591</v>
      </c>
      <c r="H442" s="3" t="s">
        <v>1592</v>
      </c>
      <c r="I442" s="3" t="s">
        <v>2696</v>
      </c>
      <c r="J442" s="4">
        <v>0</v>
      </c>
      <c r="K442" s="4">
        <v>0</v>
      </c>
      <c r="L442" s="4">
        <v>0</v>
      </c>
      <c r="M442" s="4">
        <v>0</v>
      </c>
      <c r="N442" s="5">
        <v>0</v>
      </c>
      <c r="O442" s="5">
        <v>4162</v>
      </c>
      <c r="P442" s="5">
        <v>0</v>
      </c>
      <c r="Q442" s="5">
        <v>0</v>
      </c>
      <c r="R442" s="5">
        <v>2500</v>
      </c>
      <c r="S442" s="5">
        <v>0</v>
      </c>
      <c r="T442" s="5">
        <f t="shared" si="69"/>
        <v>6662</v>
      </c>
      <c r="U442" s="5">
        <f>SUM(S442:S442)</f>
        <v>0</v>
      </c>
      <c r="V442" s="5">
        <v>0</v>
      </c>
      <c r="W442" s="5">
        <v>0</v>
      </c>
      <c r="X442" s="5">
        <v>0</v>
      </c>
      <c r="Y442" s="5">
        <v>6662</v>
      </c>
      <c r="Z442" s="5">
        <f t="shared" si="70"/>
        <v>6662</v>
      </c>
      <c r="AA442" s="20">
        <f t="shared" si="68"/>
        <v>0</v>
      </c>
    </row>
    <row r="443" spans="1:27" ht="12.75">
      <c r="A443" s="3" t="s">
        <v>2698</v>
      </c>
      <c r="B443" s="3" t="s">
        <v>2686</v>
      </c>
      <c r="C443" s="3" t="s">
        <v>2687</v>
      </c>
      <c r="D443" s="3" t="s">
        <v>2699</v>
      </c>
      <c r="E443" s="3" t="s">
        <v>2690</v>
      </c>
      <c r="F443" s="3" t="s">
        <v>2701</v>
      </c>
      <c r="G443" s="3" t="s">
        <v>1591</v>
      </c>
      <c r="H443" s="3" t="s">
        <v>1592</v>
      </c>
      <c r="I443" s="3" t="s">
        <v>2410</v>
      </c>
      <c r="J443" s="4">
        <v>1</v>
      </c>
      <c r="K443" s="4">
        <v>0</v>
      </c>
      <c r="L443" s="4">
        <v>2</v>
      </c>
      <c r="M443" s="4">
        <v>3.34</v>
      </c>
      <c r="N443" s="5">
        <v>363228</v>
      </c>
      <c r="O443" s="5">
        <v>0</v>
      </c>
      <c r="P443" s="5">
        <v>0</v>
      </c>
      <c r="Q443" s="5">
        <v>0</v>
      </c>
      <c r="R443" s="5">
        <v>0</v>
      </c>
      <c r="S443" s="5">
        <v>0</v>
      </c>
      <c r="T443" s="5">
        <f t="shared" si="69"/>
        <v>363228</v>
      </c>
      <c r="U443" s="5">
        <v>100000</v>
      </c>
      <c r="V443" s="5">
        <v>0</v>
      </c>
      <c r="W443" s="5">
        <v>0</v>
      </c>
      <c r="X443" s="5">
        <v>0</v>
      </c>
      <c r="Y443" s="5">
        <v>463228</v>
      </c>
      <c r="Z443" s="5">
        <f t="shared" si="70"/>
        <v>463228</v>
      </c>
      <c r="AA443" s="20">
        <f t="shared" si="68"/>
        <v>0</v>
      </c>
    </row>
    <row r="444" spans="1:27" ht="12.75">
      <c r="A444" s="3" t="s">
        <v>2698</v>
      </c>
      <c r="B444" s="3" t="s">
        <v>2686</v>
      </c>
      <c r="C444" s="3" t="s">
        <v>2687</v>
      </c>
      <c r="D444" s="3" t="s">
        <v>2702</v>
      </c>
      <c r="E444" s="3" t="s">
        <v>2690</v>
      </c>
      <c r="F444" s="3" t="s">
        <v>2704</v>
      </c>
      <c r="G444" s="3" t="s">
        <v>1591</v>
      </c>
      <c r="H444" s="3" t="s">
        <v>1592</v>
      </c>
      <c r="I444" s="3" t="s">
        <v>2703</v>
      </c>
      <c r="J444" s="4">
        <v>0</v>
      </c>
      <c r="K444" s="4">
        <v>0</v>
      </c>
      <c r="L444" s="4">
        <v>1</v>
      </c>
      <c r="M444" s="4">
        <v>3</v>
      </c>
      <c r="N444" s="5">
        <v>239556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f t="shared" si="69"/>
        <v>239556</v>
      </c>
      <c r="U444" s="5">
        <v>134800</v>
      </c>
      <c r="V444" s="5">
        <v>155506</v>
      </c>
      <c r="W444" s="5">
        <v>0</v>
      </c>
      <c r="X444" s="5">
        <v>146225</v>
      </c>
      <c r="Y444" s="5">
        <v>676087</v>
      </c>
      <c r="Z444" s="5">
        <f t="shared" si="70"/>
        <v>676087</v>
      </c>
      <c r="AA444" s="20">
        <f t="shared" si="68"/>
        <v>0</v>
      </c>
    </row>
    <row r="445" spans="1:27" ht="12.75">
      <c r="A445" s="3" t="s">
        <v>2698</v>
      </c>
      <c r="B445" s="3" t="s">
        <v>2686</v>
      </c>
      <c r="C445" s="3" t="s">
        <v>2687</v>
      </c>
      <c r="D445" s="3" t="s">
        <v>2705</v>
      </c>
      <c r="E445" s="3" t="s">
        <v>2690</v>
      </c>
      <c r="F445" s="3" t="s">
        <v>2707</v>
      </c>
      <c r="G445" s="3" t="s">
        <v>1591</v>
      </c>
      <c r="H445" s="3" t="s">
        <v>1592</v>
      </c>
      <c r="I445" s="3" t="s">
        <v>2706</v>
      </c>
      <c r="J445" s="4">
        <v>0</v>
      </c>
      <c r="K445" s="4">
        <v>0</v>
      </c>
      <c r="L445" s="4">
        <v>1.98</v>
      </c>
      <c r="M445" s="4">
        <v>0</v>
      </c>
      <c r="N445" s="5">
        <v>63876</v>
      </c>
      <c r="O445" s="5">
        <v>0</v>
      </c>
      <c r="P445" s="5">
        <v>2206</v>
      </c>
      <c r="Q445" s="5">
        <v>0</v>
      </c>
      <c r="R445" s="5">
        <v>0</v>
      </c>
      <c r="S445" s="5">
        <v>0</v>
      </c>
      <c r="T445" s="5">
        <f t="shared" si="69"/>
        <v>66082</v>
      </c>
      <c r="U445" s="5">
        <f>SUM(S445:S445)</f>
        <v>0</v>
      </c>
      <c r="V445" s="5">
        <v>0</v>
      </c>
      <c r="W445" s="5">
        <v>0</v>
      </c>
      <c r="X445" s="5">
        <v>0</v>
      </c>
      <c r="Y445" s="5">
        <v>66082</v>
      </c>
      <c r="Z445" s="5">
        <f t="shared" si="70"/>
        <v>66082</v>
      </c>
      <c r="AA445" s="20">
        <f t="shared" si="68"/>
        <v>0</v>
      </c>
    </row>
    <row r="446" spans="1:27" ht="12.75">
      <c r="A446" s="3" t="s">
        <v>2698</v>
      </c>
      <c r="B446" s="3" t="s">
        <v>2686</v>
      </c>
      <c r="C446" s="3" t="s">
        <v>2687</v>
      </c>
      <c r="D446" s="3" t="s">
        <v>2708</v>
      </c>
      <c r="E446" s="3" t="s">
        <v>2690</v>
      </c>
      <c r="F446" s="3" t="s">
        <v>2710</v>
      </c>
      <c r="G446" s="3" t="s">
        <v>1591</v>
      </c>
      <c r="H446" s="3" t="s">
        <v>1592</v>
      </c>
      <c r="I446" s="3" t="s">
        <v>2709</v>
      </c>
      <c r="J446" s="4">
        <v>0</v>
      </c>
      <c r="K446" s="4">
        <v>0</v>
      </c>
      <c r="L446" s="4">
        <v>1</v>
      </c>
      <c r="M446" s="4">
        <v>9.685</v>
      </c>
      <c r="N446" s="5">
        <v>538488</v>
      </c>
      <c r="O446" s="5">
        <v>1000</v>
      </c>
      <c r="P446" s="5">
        <v>0</v>
      </c>
      <c r="Q446" s="5">
        <v>0</v>
      </c>
      <c r="R446" s="5">
        <v>0</v>
      </c>
      <c r="S446" s="5">
        <v>0</v>
      </c>
      <c r="T446" s="5">
        <f t="shared" si="69"/>
        <v>539488</v>
      </c>
      <c r="U446" s="5">
        <v>460400</v>
      </c>
      <c r="V446" s="5">
        <v>948312</v>
      </c>
      <c r="W446" s="5">
        <v>0</v>
      </c>
      <c r="X446" s="5">
        <v>281800</v>
      </c>
      <c r="Y446" s="5">
        <v>2230000</v>
      </c>
      <c r="Z446" s="5">
        <f t="shared" si="70"/>
        <v>2230000</v>
      </c>
      <c r="AA446" s="20">
        <f t="shared" si="68"/>
        <v>0</v>
      </c>
    </row>
    <row r="447" spans="1:27" ht="12.75">
      <c r="A447" s="3" t="s">
        <v>2698</v>
      </c>
      <c r="B447" s="3" t="s">
        <v>2686</v>
      </c>
      <c r="C447" s="3" t="s">
        <v>2687</v>
      </c>
      <c r="D447" s="3" t="s">
        <v>2711</v>
      </c>
      <c r="E447" s="3" t="s">
        <v>2690</v>
      </c>
      <c r="F447" s="3" t="s">
        <v>2713</v>
      </c>
      <c r="G447" s="3" t="s">
        <v>1591</v>
      </c>
      <c r="H447" s="3" t="s">
        <v>1592</v>
      </c>
      <c r="I447" s="3" t="s">
        <v>2712</v>
      </c>
      <c r="J447" s="4">
        <v>0</v>
      </c>
      <c r="K447" s="4">
        <v>0</v>
      </c>
      <c r="L447" s="4">
        <v>0</v>
      </c>
      <c r="M447" s="4">
        <v>0.418</v>
      </c>
      <c r="N447" s="5">
        <v>16896</v>
      </c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5">
        <f t="shared" si="69"/>
        <v>16896</v>
      </c>
      <c r="U447" s="5">
        <v>9600</v>
      </c>
      <c r="V447" s="5">
        <v>48563</v>
      </c>
      <c r="W447" s="5">
        <v>0</v>
      </c>
      <c r="X447" s="5">
        <v>0</v>
      </c>
      <c r="Y447" s="5">
        <v>75059</v>
      </c>
      <c r="Z447" s="5">
        <f t="shared" si="70"/>
        <v>75059</v>
      </c>
      <c r="AA447" s="20">
        <f t="shared" si="68"/>
        <v>0</v>
      </c>
    </row>
    <row r="448" spans="1:27" ht="12.75">
      <c r="A448" s="3" t="s">
        <v>2698</v>
      </c>
      <c r="B448" s="3" t="s">
        <v>2686</v>
      </c>
      <c r="C448" s="3" t="s">
        <v>2687</v>
      </c>
      <c r="D448" s="3" t="s">
        <v>2714</v>
      </c>
      <c r="E448" s="3" t="s">
        <v>2690</v>
      </c>
      <c r="F448" s="3" t="s">
        <v>2716</v>
      </c>
      <c r="G448" s="3" t="s">
        <v>1591</v>
      </c>
      <c r="H448" s="3" t="s">
        <v>1592</v>
      </c>
      <c r="I448" s="3" t="s">
        <v>2715</v>
      </c>
      <c r="J448" s="4">
        <v>0</v>
      </c>
      <c r="K448" s="4">
        <v>0</v>
      </c>
      <c r="L448" s="4">
        <v>3</v>
      </c>
      <c r="M448" s="4">
        <v>0</v>
      </c>
      <c r="N448" s="5">
        <v>92964</v>
      </c>
      <c r="O448" s="5">
        <v>0</v>
      </c>
      <c r="P448" s="5">
        <v>0</v>
      </c>
      <c r="Q448" s="5">
        <v>0</v>
      </c>
      <c r="R448" s="5">
        <v>0</v>
      </c>
      <c r="S448" s="5">
        <v>0</v>
      </c>
      <c r="T448" s="5">
        <f t="shared" si="69"/>
        <v>92964</v>
      </c>
      <c r="U448" s="5">
        <v>91900</v>
      </c>
      <c r="V448" s="5">
        <v>0</v>
      </c>
      <c r="W448" s="5">
        <v>0</v>
      </c>
      <c r="X448" s="5">
        <v>0</v>
      </c>
      <c r="Y448" s="5">
        <v>184864</v>
      </c>
      <c r="Z448" s="5">
        <f t="shared" si="70"/>
        <v>184864</v>
      </c>
      <c r="AA448" s="20">
        <f t="shared" si="68"/>
        <v>0</v>
      </c>
    </row>
    <row r="449" spans="1:27" ht="12.75">
      <c r="A449" s="3" t="s">
        <v>2698</v>
      </c>
      <c r="B449" s="3" t="s">
        <v>2686</v>
      </c>
      <c r="C449" s="3" t="s">
        <v>2687</v>
      </c>
      <c r="D449" s="3" t="s">
        <v>2717</v>
      </c>
      <c r="E449" s="3" t="s">
        <v>2690</v>
      </c>
      <c r="F449" s="3" t="s">
        <v>2719</v>
      </c>
      <c r="G449" s="3" t="s">
        <v>1591</v>
      </c>
      <c r="H449" s="3" t="s">
        <v>1592</v>
      </c>
      <c r="I449" s="3" t="s">
        <v>2718</v>
      </c>
      <c r="J449" s="4">
        <v>0</v>
      </c>
      <c r="K449" s="4">
        <v>0</v>
      </c>
      <c r="L449" s="4">
        <v>0</v>
      </c>
      <c r="M449" s="4">
        <v>1</v>
      </c>
      <c r="N449" s="5">
        <v>33126</v>
      </c>
      <c r="O449" s="5">
        <v>0</v>
      </c>
      <c r="P449" s="5">
        <v>0</v>
      </c>
      <c r="Q449" s="5">
        <v>0</v>
      </c>
      <c r="R449" s="5">
        <v>0</v>
      </c>
      <c r="S449" s="5">
        <v>0</v>
      </c>
      <c r="T449" s="5">
        <f t="shared" si="69"/>
        <v>33126</v>
      </c>
      <c r="U449" s="5">
        <v>23558</v>
      </c>
      <c r="V449" s="5">
        <v>95696</v>
      </c>
      <c r="W449" s="5">
        <v>0</v>
      </c>
      <c r="X449" s="5">
        <v>250</v>
      </c>
      <c r="Y449" s="5">
        <v>152630</v>
      </c>
      <c r="Z449" s="5">
        <f t="shared" si="70"/>
        <v>152630</v>
      </c>
      <c r="AA449" s="20">
        <f t="shared" si="68"/>
        <v>0</v>
      </c>
    </row>
    <row r="450" spans="1:27" ht="12.75">
      <c r="A450" s="3" t="s">
        <v>2698</v>
      </c>
      <c r="B450" s="3" t="s">
        <v>2686</v>
      </c>
      <c r="C450" s="3" t="s">
        <v>2687</v>
      </c>
      <c r="D450" s="3" t="s">
        <v>2720</v>
      </c>
      <c r="E450" s="3" t="s">
        <v>2690</v>
      </c>
      <c r="F450" s="3" t="s">
        <v>2722</v>
      </c>
      <c r="G450" s="3" t="s">
        <v>1591</v>
      </c>
      <c r="H450" s="3" t="s">
        <v>1592</v>
      </c>
      <c r="I450" s="3" t="s">
        <v>2721</v>
      </c>
      <c r="J450" s="4">
        <v>0</v>
      </c>
      <c r="K450" s="4">
        <v>0</v>
      </c>
      <c r="L450" s="4">
        <v>0</v>
      </c>
      <c r="M450" s="4">
        <v>4</v>
      </c>
      <c r="N450" s="5">
        <v>114972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f t="shared" si="69"/>
        <v>114972</v>
      </c>
      <c r="U450" s="5">
        <v>44600</v>
      </c>
      <c r="V450" s="5">
        <v>65791</v>
      </c>
      <c r="W450" s="5">
        <v>0</v>
      </c>
      <c r="X450" s="5">
        <v>110400</v>
      </c>
      <c r="Y450" s="5">
        <v>335763</v>
      </c>
      <c r="Z450" s="5">
        <f t="shared" si="70"/>
        <v>335763</v>
      </c>
      <c r="AA450" s="20">
        <f t="shared" si="68"/>
        <v>0</v>
      </c>
    </row>
    <row r="451" spans="1:27" ht="12.75">
      <c r="A451" s="3" t="s">
        <v>2698</v>
      </c>
      <c r="B451" s="3" t="s">
        <v>2686</v>
      </c>
      <c r="C451" s="3" t="s">
        <v>2687</v>
      </c>
      <c r="D451" s="3" t="s">
        <v>2723</v>
      </c>
      <c r="E451" s="3" t="s">
        <v>2690</v>
      </c>
      <c r="F451" s="3" t="s">
        <v>2725</v>
      </c>
      <c r="G451" s="3" t="s">
        <v>1591</v>
      </c>
      <c r="H451" s="3" t="s">
        <v>1592</v>
      </c>
      <c r="I451" s="3" t="s">
        <v>2724</v>
      </c>
      <c r="J451" s="4">
        <v>0</v>
      </c>
      <c r="K451" s="4">
        <v>0</v>
      </c>
      <c r="L451" s="4">
        <v>0</v>
      </c>
      <c r="M451" s="4">
        <v>2</v>
      </c>
      <c r="N451" s="5">
        <v>71832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5">
        <f t="shared" si="69"/>
        <v>71832</v>
      </c>
      <c r="U451" s="5">
        <v>24120</v>
      </c>
      <c r="V451" s="5">
        <v>101677</v>
      </c>
      <c r="W451" s="5">
        <v>0</v>
      </c>
      <c r="X451" s="5">
        <v>5480</v>
      </c>
      <c r="Y451" s="5">
        <v>203109</v>
      </c>
      <c r="Z451" s="5">
        <f t="shared" si="70"/>
        <v>203109</v>
      </c>
      <c r="AA451" s="20">
        <f t="shared" si="68"/>
        <v>0</v>
      </c>
    </row>
    <row r="452" spans="1:27" ht="12.75">
      <c r="A452" s="3" t="s">
        <v>2698</v>
      </c>
      <c r="B452" s="3" t="s">
        <v>2686</v>
      </c>
      <c r="C452" s="3" t="s">
        <v>2687</v>
      </c>
      <c r="D452" s="3" t="s">
        <v>2726</v>
      </c>
      <c r="E452" s="3" t="s">
        <v>2690</v>
      </c>
      <c r="F452" s="3" t="s">
        <v>2728</v>
      </c>
      <c r="G452" s="3" t="s">
        <v>1591</v>
      </c>
      <c r="H452" s="3" t="s">
        <v>1592</v>
      </c>
      <c r="I452" s="3" t="s">
        <v>2727</v>
      </c>
      <c r="J452" s="4">
        <v>0</v>
      </c>
      <c r="K452" s="4">
        <v>0</v>
      </c>
      <c r="L452" s="4">
        <v>2</v>
      </c>
      <c r="M452" s="4">
        <v>0</v>
      </c>
      <c r="N452" s="5">
        <v>50220</v>
      </c>
      <c r="O452" s="5">
        <v>0</v>
      </c>
      <c r="P452" s="5">
        <v>0</v>
      </c>
      <c r="Q452" s="5">
        <v>0</v>
      </c>
      <c r="R452" s="5">
        <v>0</v>
      </c>
      <c r="S452" s="5">
        <v>0</v>
      </c>
      <c r="T452" s="5">
        <f t="shared" si="69"/>
        <v>50220</v>
      </c>
      <c r="U452" s="5">
        <v>31040</v>
      </c>
      <c r="V452" s="5">
        <v>72780</v>
      </c>
      <c r="W452" s="5">
        <v>0</v>
      </c>
      <c r="X452" s="5">
        <v>0</v>
      </c>
      <c r="Y452" s="5">
        <v>154040</v>
      </c>
      <c r="Z452" s="5">
        <f t="shared" si="70"/>
        <v>154040</v>
      </c>
      <c r="AA452" s="20">
        <f t="shared" si="68"/>
        <v>0</v>
      </c>
    </row>
    <row r="453" spans="1:27" ht="12.75">
      <c r="A453" s="3" t="s">
        <v>2698</v>
      </c>
      <c r="B453" s="3" t="s">
        <v>2686</v>
      </c>
      <c r="C453" s="3" t="s">
        <v>2687</v>
      </c>
      <c r="D453" s="3" t="s">
        <v>2729</v>
      </c>
      <c r="E453" s="3" t="s">
        <v>2690</v>
      </c>
      <c r="F453" s="3" t="s">
        <v>2731</v>
      </c>
      <c r="G453" s="3" t="s">
        <v>1591</v>
      </c>
      <c r="H453" s="3" t="s">
        <v>1592</v>
      </c>
      <c r="I453" s="3" t="s">
        <v>2730</v>
      </c>
      <c r="J453" s="4">
        <v>0</v>
      </c>
      <c r="K453" s="4">
        <v>0</v>
      </c>
      <c r="L453" s="4">
        <v>1</v>
      </c>
      <c r="M453" s="4">
        <v>2</v>
      </c>
      <c r="N453" s="5">
        <v>102744</v>
      </c>
      <c r="O453" s="5">
        <v>0</v>
      </c>
      <c r="P453" s="5">
        <v>0</v>
      </c>
      <c r="Q453" s="5">
        <v>0</v>
      </c>
      <c r="R453" s="5">
        <v>0</v>
      </c>
      <c r="S453" s="5">
        <v>0</v>
      </c>
      <c r="T453" s="5">
        <f t="shared" si="69"/>
        <v>102744</v>
      </c>
      <c r="U453" s="5">
        <v>7000</v>
      </c>
      <c r="V453" s="5">
        <v>72780</v>
      </c>
      <c r="W453" s="5">
        <v>0</v>
      </c>
      <c r="X453" s="5">
        <v>4000</v>
      </c>
      <c r="Y453" s="5">
        <v>186524</v>
      </c>
      <c r="Z453" s="5">
        <f t="shared" si="70"/>
        <v>186524</v>
      </c>
      <c r="AA453" s="20">
        <f t="shared" si="68"/>
        <v>0</v>
      </c>
    </row>
    <row r="454" spans="1:27" ht="12.75">
      <c r="A454" s="3" t="s">
        <v>2698</v>
      </c>
      <c r="B454" s="3" t="s">
        <v>2686</v>
      </c>
      <c r="C454" s="3" t="s">
        <v>2687</v>
      </c>
      <c r="D454" s="3" t="s">
        <v>2732</v>
      </c>
      <c r="E454" s="3" t="s">
        <v>2690</v>
      </c>
      <c r="F454" s="3" t="s">
        <v>2734</v>
      </c>
      <c r="G454" s="3" t="s">
        <v>1591</v>
      </c>
      <c r="H454" s="3" t="s">
        <v>1592</v>
      </c>
      <c r="I454" s="3" t="s">
        <v>2733</v>
      </c>
      <c r="J454" s="4">
        <v>0</v>
      </c>
      <c r="K454" s="4">
        <v>0</v>
      </c>
      <c r="L454" s="4">
        <v>2</v>
      </c>
      <c r="M454" s="4">
        <v>0</v>
      </c>
      <c r="N454" s="5">
        <v>58884</v>
      </c>
      <c r="O454" s="5">
        <v>0</v>
      </c>
      <c r="P454" s="5">
        <v>0</v>
      </c>
      <c r="Q454" s="5">
        <v>0</v>
      </c>
      <c r="R454" s="5">
        <v>0</v>
      </c>
      <c r="S454" s="5">
        <v>0</v>
      </c>
      <c r="T454" s="5">
        <f t="shared" si="69"/>
        <v>58884</v>
      </c>
      <c r="U454" s="5">
        <v>32180</v>
      </c>
      <c r="V454" s="5">
        <v>0</v>
      </c>
      <c r="W454" s="5">
        <v>0</v>
      </c>
      <c r="X454" s="5">
        <v>0</v>
      </c>
      <c r="Y454" s="5">
        <v>91064</v>
      </c>
      <c r="Z454" s="5">
        <f t="shared" si="70"/>
        <v>91064</v>
      </c>
      <c r="AA454" s="20">
        <f t="shared" si="68"/>
        <v>0</v>
      </c>
    </row>
    <row r="455" spans="1:27" ht="12.75">
      <c r="A455" s="3" t="s">
        <v>2698</v>
      </c>
      <c r="B455" s="3" t="s">
        <v>2686</v>
      </c>
      <c r="C455" s="3" t="s">
        <v>2687</v>
      </c>
      <c r="D455" s="3" t="s">
        <v>2735</v>
      </c>
      <c r="E455" s="3" t="s">
        <v>2690</v>
      </c>
      <c r="F455" s="3" t="s">
        <v>2737</v>
      </c>
      <c r="G455" s="3" t="s">
        <v>1591</v>
      </c>
      <c r="H455" s="3" t="s">
        <v>1592</v>
      </c>
      <c r="I455" s="3" t="s">
        <v>2736</v>
      </c>
      <c r="J455" s="4">
        <v>0</v>
      </c>
      <c r="K455" s="4">
        <v>0</v>
      </c>
      <c r="L455" s="4">
        <v>1</v>
      </c>
      <c r="M455" s="4">
        <v>4</v>
      </c>
      <c r="N455" s="5">
        <v>191076</v>
      </c>
      <c r="O455" s="5">
        <v>0</v>
      </c>
      <c r="P455" s="5">
        <v>0</v>
      </c>
      <c r="Q455" s="5">
        <v>0</v>
      </c>
      <c r="R455" s="5">
        <v>0</v>
      </c>
      <c r="S455" s="5">
        <v>0</v>
      </c>
      <c r="T455" s="5">
        <f t="shared" si="69"/>
        <v>191076</v>
      </c>
      <c r="U455" s="5">
        <v>41700</v>
      </c>
      <c r="V455" s="5">
        <v>180860</v>
      </c>
      <c r="W455" s="5">
        <v>0</v>
      </c>
      <c r="X455" s="5">
        <v>25200</v>
      </c>
      <c r="Y455" s="5">
        <v>438836</v>
      </c>
      <c r="Z455" s="5">
        <f t="shared" si="70"/>
        <v>438836</v>
      </c>
      <c r="AA455" s="20">
        <f t="shared" si="68"/>
        <v>0</v>
      </c>
    </row>
    <row r="456" spans="1:27" ht="12.75">
      <c r="A456" s="3" t="s">
        <v>2698</v>
      </c>
      <c r="B456" s="3" t="s">
        <v>2686</v>
      </c>
      <c r="C456" s="3" t="s">
        <v>2687</v>
      </c>
      <c r="D456" s="3" t="s">
        <v>2738</v>
      </c>
      <c r="E456" s="3" t="s">
        <v>2690</v>
      </c>
      <c r="F456" s="3" t="s">
        <v>2740</v>
      </c>
      <c r="G456" s="3" t="s">
        <v>1591</v>
      </c>
      <c r="H456" s="3" t="s">
        <v>1592</v>
      </c>
      <c r="I456" s="3" t="s">
        <v>2739</v>
      </c>
      <c r="J456" s="4">
        <v>0</v>
      </c>
      <c r="K456" s="4">
        <v>0</v>
      </c>
      <c r="L456" s="4">
        <v>0</v>
      </c>
      <c r="M456" s="4">
        <v>2</v>
      </c>
      <c r="N456" s="5">
        <v>53130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f t="shared" si="69"/>
        <v>53130</v>
      </c>
      <c r="U456" s="5">
        <v>12200</v>
      </c>
      <c r="V456" s="5">
        <v>167468</v>
      </c>
      <c r="W456" s="5">
        <v>0</v>
      </c>
      <c r="X456" s="5">
        <v>250</v>
      </c>
      <c r="Y456" s="5">
        <v>233048</v>
      </c>
      <c r="Z456" s="5">
        <f t="shared" si="70"/>
        <v>233048</v>
      </c>
      <c r="AA456" s="20">
        <f t="shared" si="68"/>
        <v>0</v>
      </c>
    </row>
    <row r="457" spans="1:27" ht="12.75">
      <c r="A457" s="3" t="s">
        <v>2698</v>
      </c>
      <c r="B457" s="3" t="s">
        <v>2686</v>
      </c>
      <c r="C457" s="3" t="s">
        <v>2687</v>
      </c>
      <c r="D457" s="3" t="s">
        <v>2741</v>
      </c>
      <c r="E457" s="3" t="s">
        <v>2690</v>
      </c>
      <c r="F457" s="3" t="s">
        <v>2743</v>
      </c>
      <c r="G457" s="3" t="s">
        <v>1591</v>
      </c>
      <c r="H457" s="3" t="s">
        <v>1592</v>
      </c>
      <c r="I457" s="3" t="s">
        <v>2742</v>
      </c>
      <c r="J457" s="4">
        <v>0</v>
      </c>
      <c r="K457" s="4">
        <v>0</v>
      </c>
      <c r="L457" s="4">
        <v>0</v>
      </c>
      <c r="M457" s="4">
        <v>1</v>
      </c>
      <c r="N457" s="5">
        <v>39408</v>
      </c>
      <c r="O457" s="5">
        <v>0</v>
      </c>
      <c r="P457" s="5">
        <v>18000</v>
      </c>
      <c r="Q457" s="5">
        <v>0</v>
      </c>
      <c r="R457" s="5">
        <v>0</v>
      </c>
      <c r="S457" s="5">
        <v>0</v>
      </c>
      <c r="T457" s="5">
        <f t="shared" si="69"/>
        <v>57408</v>
      </c>
      <c r="U457" s="5">
        <f>SUM(S457:S457)</f>
        <v>0</v>
      </c>
      <c r="V457" s="5">
        <v>215316</v>
      </c>
      <c r="W457" s="5">
        <v>0</v>
      </c>
      <c r="X457" s="5">
        <v>0</v>
      </c>
      <c r="Y457" s="5">
        <v>272724</v>
      </c>
      <c r="Z457" s="5">
        <f t="shared" si="70"/>
        <v>272724</v>
      </c>
      <c r="AA457" s="20">
        <f t="shared" si="68"/>
        <v>0</v>
      </c>
    </row>
    <row r="458" spans="1:27" ht="12.75">
      <c r="A458" s="3" t="s">
        <v>2698</v>
      </c>
      <c r="B458" s="3" t="s">
        <v>2686</v>
      </c>
      <c r="C458" s="3" t="s">
        <v>2687</v>
      </c>
      <c r="D458" s="3" t="s">
        <v>2744</v>
      </c>
      <c r="E458" s="3" t="s">
        <v>2690</v>
      </c>
      <c r="F458" s="3" t="s">
        <v>2746</v>
      </c>
      <c r="G458" s="3" t="s">
        <v>1591</v>
      </c>
      <c r="H458" s="3" t="s">
        <v>1592</v>
      </c>
      <c r="I458" s="3" t="s">
        <v>2745</v>
      </c>
      <c r="J458" s="4">
        <v>0</v>
      </c>
      <c r="K458" s="4">
        <v>0</v>
      </c>
      <c r="L458" s="4">
        <v>0</v>
      </c>
      <c r="M458" s="4">
        <v>1</v>
      </c>
      <c r="N458" s="5">
        <v>39408</v>
      </c>
      <c r="O458" s="5">
        <v>0</v>
      </c>
      <c r="P458" s="5">
        <v>0</v>
      </c>
      <c r="Q458" s="5">
        <v>0</v>
      </c>
      <c r="R458" s="5">
        <v>0</v>
      </c>
      <c r="S458" s="5">
        <v>0</v>
      </c>
      <c r="T458" s="5">
        <f t="shared" si="69"/>
        <v>39408</v>
      </c>
      <c r="U458" s="5">
        <v>0</v>
      </c>
      <c r="V458" s="5">
        <v>113639</v>
      </c>
      <c r="W458" s="5">
        <v>0</v>
      </c>
      <c r="X458" s="5">
        <v>0</v>
      </c>
      <c r="Y458" s="5">
        <v>153047</v>
      </c>
      <c r="Z458" s="5">
        <f t="shared" si="70"/>
        <v>153047</v>
      </c>
      <c r="AA458" s="20">
        <f t="shared" si="68"/>
        <v>0</v>
      </c>
    </row>
    <row r="459" spans="1:27" ht="12.75">
      <c r="A459" s="3" t="s">
        <v>2698</v>
      </c>
      <c r="B459" s="3" t="s">
        <v>2686</v>
      </c>
      <c r="C459" s="3" t="s">
        <v>2687</v>
      </c>
      <c r="D459" s="3" t="s">
        <v>2747</v>
      </c>
      <c r="E459" s="3" t="s">
        <v>2690</v>
      </c>
      <c r="F459" s="3" t="s">
        <v>2749</v>
      </c>
      <c r="G459" s="3" t="s">
        <v>1591</v>
      </c>
      <c r="H459" s="3" t="s">
        <v>1592</v>
      </c>
      <c r="I459" s="3" t="s">
        <v>2748</v>
      </c>
      <c r="J459" s="4">
        <v>0</v>
      </c>
      <c r="K459" s="4">
        <v>0</v>
      </c>
      <c r="L459" s="4">
        <v>0</v>
      </c>
      <c r="M459" s="4">
        <v>2</v>
      </c>
      <c r="N459" s="5">
        <v>76236</v>
      </c>
      <c r="O459" s="5">
        <v>0</v>
      </c>
      <c r="P459" s="5">
        <v>18000</v>
      </c>
      <c r="Q459" s="5">
        <v>0</v>
      </c>
      <c r="R459" s="5">
        <v>0</v>
      </c>
      <c r="S459" s="5">
        <v>0</v>
      </c>
      <c r="T459" s="5">
        <f t="shared" si="69"/>
        <v>94236</v>
      </c>
      <c r="U459" s="5">
        <v>59500</v>
      </c>
      <c r="V459" s="5">
        <v>143544</v>
      </c>
      <c r="W459" s="5">
        <v>0</v>
      </c>
      <c r="X459" s="5">
        <v>9000</v>
      </c>
      <c r="Y459" s="5">
        <v>306280</v>
      </c>
      <c r="Z459" s="5">
        <f t="shared" si="70"/>
        <v>306280</v>
      </c>
      <c r="AA459" s="20">
        <f t="shared" si="68"/>
        <v>0</v>
      </c>
    </row>
    <row r="460" spans="1:27" ht="12.75">
      <c r="A460" s="3" t="s">
        <v>2698</v>
      </c>
      <c r="B460" s="3" t="s">
        <v>2686</v>
      </c>
      <c r="C460" s="3" t="s">
        <v>2687</v>
      </c>
      <c r="D460" s="3" t="s">
        <v>2750</v>
      </c>
      <c r="E460" s="3" t="s">
        <v>2690</v>
      </c>
      <c r="F460" s="3" t="s">
        <v>2752</v>
      </c>
      <c r="G460" s="3" t="s">
        <v>1591</v>
      </c>
      <c r="H460" s="3" t="s">
        <v>1592</v>
      </c>
      <c r="I460" s="3" t="s">
        <v>2751</v>
      </c>
      <c r="J460" s="4">
        <v>0</v>
      </c>
      <c r="K460" s="4">
        <v>0</v>
      </c>
      <c r="L460" s="4">
        <v>0</v>
      </c>
      <c r="M460" s="4">
        <v>0</v>
      </c>
      <c r="N460" s="5">
        <v>0</v>
      </c>
      <c r="O460" s="5">
        <v>0</v>
      </c>
      <c r="P460" s="5">
        <v>0</v>
      </c>
      <c r="Q460" s="5">
        <v>0</v>
      </c>
      <c r="R460" s="5">
        <v>0</v>
      </c>
      <c r="S460" s="5">
        <v>0</v>
      </c>
      <c r="T460" s="5">
        <f t="shared" si="69"/>
        <v>0</v>
      </c>
      <c r="U460" s="5">
        <v>16700</v>
      </c>
      <c r="V460" s="5">
        <v>71772</v>
      </c>
      <c r="W460" s="5">
        <v>0</v>
      </c>
      <c r="X460" s="5">
        <v>0</v>
      </c>
      <c r="Y460" s="5">
        <v>88472</v>
      </c>
      <c r="Z460" s="5">
        <f t="shared" si="70"/>
        <v>88472</v>
      </c>
      <c r="AA460" s="20">
        <f t="shared" si="68"/>
        <v>0</v>
      </c>
    </row>
    <row r="461" spans="1:27" ht="12.75">
      <c r="A461" s="3" t="s">
        <v>2698</v>
      </c>
      <c r="B461" s="3" t="s">
        <v>2686</v>
      </c>
      <c r="C461" s="3" t="s">
        <v>2687</v>
      </c>
      <c r="D461" s="3" t="s">
        <v>2753</v>
      </c>
      <c r="E461" s="3" t="s">
        <v>2690</v>
      </c>
      <c r="F461" s="3" t="s">
        <v>2755</v>
      </c>
      <c r="G461" s="3" t="s">
        <v>1591</v>
      </c>
      <c r="H461" s="3" t="s">
        <v>1592</v>
      </c>
      <c r="I461" s="3" t="s">
        <v>2754</v>
      </c>
      <c r="J461" s="4">
        <v>0</v>
      </c>
      <c r="K461" s="4">
        <v>0</v>
      </c>
      <c r="L461" s="4">
        <v>0</v>
      </c>
      <c r="M461" s="4">
        <v>2</v>
      </c>
      <c r="N461" s="5">
        <v>66000</v>
      </c>
      <c r="O461" s="5">
        <v>0</v>
      </c>
      <c r="P461" s="5">
        <v>18000</v>
      </c>
      <c r="Q461" s="5">
        <v>0</v>
      </c>
      <c r="R461" s="5">
        <v>0</v>
      </c>
      <c r="S461" s="5">
        <v>0</v>
      </c>
      <c r="T461" s="5">
        <f t="shared" si="69"/>
        <v>84000</v>
      </c>
      <c r="U461" s="5">
        <v>38640</v>
      </c>
      <c r="V461" s="5">
        <v>82080</v>
      </c>
      <c r="W461" s="5">
        <v>0</v>
      </c>
      <c r="X461" s="5">
        <v>0</v>
      </c>
      <c r="Y461" s="5">
        <v>204720</v>
      </c>
      <c r="Z461" s="5">
        <f t="shared" si="70"/>
        <v>204720</v>
      </c>
      <c r="AA461" s="20">
        <f t="shared" si="68"/>
        <v>0</v>
      </c>
    </row>
    <row r="462" spans="1:27" ht="13.5" thickBot="1">
      <c r="A462" s="3" t="s">
        <v>2698</v>
      </c>
      <c r="B462" s="3" t="s">
        <v>2686</v>
      </c>
      <c r="C462" s="3" t="s">
        <v>2687</v>
      </c>
      <c r="D462" s="3" t="s">
        <v>2756</v>
      </c>
      <c r="E462" s="3" t="s">
        <v>2690</v>
      </c>
      <c r="F462" s="3" t="s">
        <v>2758</v>
      </c>
      <c r="G462" s="3" t="s">
        <v>1591</v>
      </c>
      <c r="H462" s="3" t="s">
        <v>1592</v>
      </c>
      <c r="I462" s="3" t="s">
        <v>2757</v>
      </c>
      <c r="J462" s="6">
        <v>0</v>
      </c>
      <c r="K462" s="6">
        <v>0</v>
      </c>
      <c r="L462" s="6">
        <v>0</v>
      </c>
      <c r="M462" s="6">
        <v>1</v>
      </c>
      <c r="N462" s="7">
        <v>33888</v>
      </c>
      <c r="O462" s="7">
        <v>0</v>
      </c>
      <c r="P462" s="7">
        <v>0</v>
      </c>
      <c r="Q462" s="7">
        <v>0</v>
      </c>
      <c r="R462" s="7">
        <v>0</v>
      </c>
      <c r="S462" s="7">
        <v>0</v>
      </c>
      <c r="T462" s="7">
        <f t="shared" si="69"/>
        <v>33888</v>
      </c>
      <c r="U462" s="7">
        <v>7000</v>
      </c>
      <c r="V462" s="7">
        <v>49596</v>
      </c>
      <c r="W462" s="7">
        <v>0</v>
      </c>
      <c r="X462" s="7">
        <v>0</v>
      </c>
      <c r="Y462" s="7">
        <v>90484</v>
      </c>
      <c r="Z462" s="7">
        <f t="shared" si="70"/>
        <v>90484</v>
      </c>
      <c r="AA462" s="20">
        <f t="shared" si="68"/>
        <v>0</v>
      </c>
    </row>
    <row r="463" spans="9:27" ht="12.75">
      <c r="I463" s="3" t="s">
        <v>180</v>
      </c>
      <c r="J463" s="4">
        <f aca="true" t="shared" si="74" ref="J463:Y463">SUM(J440:J462)</f>
        <v>1</v>
      </c>
      <c r="K463" s="4">
        <f t="shared" si="74"/>
        <v>0</v>
      </c>
      <c r="L463" s="4">
        <f t="shared" si="74"/>
        <v>14.98</v>
      </c>
      <c r="M463" s="4">
        <f t="shared" si="74"/>
        <v>38.443</v>
      </c>
      <c r="N463" s="5">
        <f t="shared" si="74"/>
        <v>2245932</v>
      </c>
      <c r="O463" s="5">
        <f t="shared" si="74"/>
        <v>5162</v>
      </c>
      <c r="P463" s="5">
        <f t="shared" si="74"/>
        <v>56206</v>
      </c>
      <c r="Q463" s="5">
        <f t="shared" si="74"/>
        <v>0</v>
      </c>
      <c r="R463" s="5">
        <f t="shared" si="74"/>
        <v>650362</v>
      </c>
      <c r="S463" s="5">
        <f t="shared" si="74"/>
        <v>0</v>
      </c>
      <c r="T463" s="5">
        <f t="shared" si="74"/>
        <v>2957662</v>
      </c>
      <c r="U463" s="5">
        <f t="shared" si="74"/>
        <v>1134938</v>
      </c>
      <c r="V463" s="5">
        <f t="shared" si="74"/>
        <v>2585380</v>
      </c>
      <c r="W463" s="5">
        <f t="shared" si="74"/>
        <v>0</v>
      </c>
      <c r="X463" s="5">
        <f t="shared" si="74"/>
        <v>582605</v>
      </c>
      <c r="Y463" s="5">
        <f t="shared" si="74"/>
        <v>7260585</v>
      </c>
      <c r="Z463" s="5">
        <f t="shared" si="70"/>
        <v>7260585</v>
      </c>
      <c r="AA463" s="20">
        <f aca="true" t="shared" si="75" ref="AA463:AA526">+Y463-Z463</f>
        <v>0</v>
      </c>
    </row>
    <row r="464" spans="10:27" ht="13.5" thickBot="1">
      <c r="J464" s="6"/>
      <c r="K464" s="6"/>
      <c r="L464" s="6"/>
      <c r="M464" s="6"/>
      <c r="N464" s="7"/>
      <c r="O464" s="7"/>
      <c r="P464" s="7"/>
      <c r="Q464" s="7"/>
      <c r="R464" s="7"/>
      <c r="S464" s="7"/>
      <c r="T464" s="7" t="s">
        <v>2540</v>
      </c>
      <c r="U464" s="7"/>
      <c r="V464" s="7"/>
      <c r="W464" s="7"/>
      <c r="X464" s="7"/>
      <c r="Y464" s="7"/>
      <c r="Z464" s="7" t="s">
        <v>2540</v>
      </c>
      <c r="AA464" s="20" t="s">
        <v>2540</v>
      </c>
    </row>
    <row r="465" spans="9:27" ht="12.75">
      <c r="I465" s="3" t="s">
        <v>181</v>
      </c>
      <c r="J465" s="4"/>
      <c r="K465" s="4"/>
      <c r="L465" s="4"/>
      <c r="M465" s="4"/>
      <c r="N465" s="5"/>
      <c r="O465" s="5"/>
      <c r="P465" s="5"/>
      <c r="Q465" s="5"/>
      <c r="R465" s="5"/>
      <c r="S465" s="5"/>
      <c r="T465" s="5" t="s">
        <v>2540</v>
      </c>
      <c r="U465" s="5"/>
      <c r="V465" s="5"/>
      <c r="W465" s="5"/>
      <c r="X465" s="5"/>
      <c r="Y465" s="5"/>
      <c r="Z465" s="5" t="s">
        <v>2540</v>
      </c>
      <c r="AA465" s="20" t="s">
        <v>2540</v>
      </c>
    </row>
    <row r="466" spans="10:27" ht="12.75">
      <c r="J466" s="4"/>
      <c r="K466" s="4"/>
      <c r="L466" s="4"/>
      <c r="M466" s="4"/>
      <c r="N466" s="5"/>
      <c r="O466" s="5"/>
      <c r="P466" s="5"/>
      <c r="Q466" s="5"/>
      <c r="R466" s="5"/>
      <c r="S466" s="5"/>
      <c r="T466" s="5" t="s">
        <v>2540</v>
      </c>
      <c r="U466" s="5" t="s">
        <v>2540</v>
      </c>
      <c r="V466" s="5"/>
      <c r="W466" s="5"/>
      <c r="X466" s="5"/>
      <c r="Y466" s="5"/>
      <c r="Z466" s="5" t="s">
        <v>2540</v>
      </c>
      <c r="AA466" s="20" t="s">
        <v>2540</v>
      </c>
    </row>
    <row r="467" spans="1:27" ht="12.75">
      <c r="A467" s="3" t="s">
        <v>1668</v>
      </c>
      <c r="B467" s="3" t="s">
        <v>2759</v>
      </c>
      <c r="C467" s="3" t="s">
        <v>2760</v>
      </c>
      <c r="D467" s="3" t="s">
        <v>2761</v>
      </c>
      <c r="E467" s="3" t="s">
        <v>1589</v>
      </c>
      <c r="F467" s="3" t="s">
        <v>2763</v>
      </c>
      <c r="G467" s="3" t="s">
        <v>1591</v>
      </c>
      <c r="H467" s="3" t="s">
        <v>1592</v>
      </c>
      <c r="I467" s="3" t="s">
        <v>2411</v>
      </c>
      <c r="J467" s="4">
        <v>0</v>
      </c>
      <c r="K467" s="4">
        <v>0</v>
      </c>
      <c r="L467" s="4">
        <v>0</v>
      </c>
      <c r="M467" s="4">
        <v>0</v>
      </c>
      <c r="N467" s="5">
        <v>0</v>
      </c>
      <c r="O467" s="5">
        <v>0</v>
      </c>
      <c r="P467" s="5">
        <v>0</v>
      </c>
      <c r="Q467" s="5">
        <v>0</v>
      </c>
      <c r="R467" s="5">
        <f>1721342-23045</f>
        <v>1698297</v>
      </c>
      <c r="S467" s="5">
        <v>0</v>
      </c>
      <c r="T467" s="5">
        <f aca="true" t="shared" si="76" ref="T467:T526">SUM(N467:R467)</f>
        <v>1698297</v>
      </c>
      <c r="U467" s="5" t="s">
        <v>2540</v>
      </c>
      <c r="V467" s="5">
        <v>0</v>
      </c>
      <c r="W467" s="5">
        <v>0</v>
      </c>
      <c r="X467" s="5">
        <v>0</v>
      </c>
      <c r="Y467" s="5">
        <v>1698297</v>
      </c>
      <c r="Z467" s="5">
        <f aca="true" t="shared" si="77" ref="Z467:Z526">SUM(T467:X467)</f>
        <v>1698297</v>
      </c>
      <c r="AA467" s="20">
        <f t="shared" si="75"/>
        <v>0</v>
      </c>
    </row>
    <row r="468" spans="1:27" ht="12.75">
      <c r="A468" s="3" t="s">
        <v>1668</v>
      </c>
      <c r="B468" s="3" t="s">
        <v>2759</v>
      </c>
      <c r="C468" s="3" t="s">
        <v>2760</v>
      </c>
      <c r="D468" s="3" t="s">
        <v>2764</v>
      </c>
      <c r="E468" s="3" t="s">
        <v>1589</v>
      </c>
      <c r="F468" s="3" t="s">
        <v>2766</v>
      </c>
      <c r="G468" s="3" t="s">
        <v>1591</v>
      </c>
      <c r="H468" s="3" t="s">
        <v>1592</v>
      </c>
      <c r="I468" s="3" t="s">
        <v>2412</v>
      </c>
      <c r="J468" s="4">
        <v>0</v>
      </c>
      <c r="K468" s="4">
        <v>0</v>
      </c>
      <c r="L468" s="4">
        <v>0</v>
      </c>
      <c r="M468" s="4">
        <v>0</v>
      </c>
      <c r="N468" s="5">
        <v>0</v>
      </c>
      <c r="O468" s="5">
        <v>0</v>
      </c>
      <c r="P468" s="5">
        <v>0</v>
      </c>
      <c r="Q468" s="5">
        <v>0</v>
      </c>
      <c r="R468" s="5">
        <v>15128</v>
      </c>
      <c r="S468" s="5">
        <v>0</v>
      </c>
      <c r="T468" s="5">
        <f t="shared" si="76"/>
        <v>15128</v>
      </c>
      <c r="U468" s="5" t="s">
        <v>2540</v>
      </c>
      <c r="V468" s="5">
        <v>0</v>
      </c>
      <c r="W468" s="5">
        <v>0</v>
      </c>
      <c r="X468" s="5">
        <v>0</v>
      </c>
      <c r="Y468" s="5">
        <v>15128</v>
      </c>
      <c r="Z468" s="5">
        <f t="shared" si="77"/>
        <v>15128</v>
      </c>
      <c r="AA468" s="20">
        <f t="shared" si="75"/>
        <v>0</v>
      </c>
    </row>
    <row r="469" spans="1:27" ht="12.75">
      <c r="A469" s="3" t="s">
        <v>1668</v>
      </c>
      <c r="B469" s="3" t="s">
        <v>2759</v>
      </c>
      <c r="C469" s="3" t="s">
        <v>2760</v>
      </c>
      <c r="D469" s="3" t="s">
        <v>2767</v>
      </c>
      <c r="E469" s="3" t="s">
        <v>1589</v>
      </c>
      <c r="F469" s="3" t="s">
        <v>2769</v>
      </c>
      <c r="G469" s="3" t="s">
        <v>1591</v>
      </c>
      <c r="H469" s="3" t="s">
        <v>1592</v>
      </c>
      <c r="I469" s="3" t="s">
        <v>2768</v>
      </c>
      <c r="J469" s="4">
        <v>0</v>
      </c>
      <c r="K469" s="4">
        <v>0</v>
      </c>
      <c r="L469" s="4">
        <v>0</v>
      </c>
      <c r="M469" s="4">
        <v>0</v>
      </c>
      <c r="N469" s="5">
        <v>0</v>
      </c>
      <c r="O469" s="5">
        <v>23045</v>
      </c>
      <c r="P469" s="5">
        <v>0</v>
      </c>
      <c r="Q469" s="5">
        <v>0</v>
      </c>
      <c r="R469" s="5">
        <v>19300</v>
      </c>
      <c r="S469" s="5">
        <v>0</v>
      </c>
      <c r="T469" s="5">
        <f t="shared" si="76"/>
        <v>42345</v>
      </c>
      <c r="U469" s="5" t="s">
        <v>2540</v>
      </c>
      <c r="V469" s="5">
        <v>0</v>
      </c>
      <c r="W469" s="5">
        <v>0</v>
      </c>
      <c r="X469" s="5">
        <v>0</v>
      </c>
      <c r="Y469" s="5">
        <v>42345</v>
      </c>
      <c r="Z469" s="5">
        <f t="shared" si="77"/>
        <v>42345</v>
      </c>
      <c r="AA469" s="20">
        <f t="shared" si="75"/>
        <v>0</v>
      </c>
    </row>
    <row r="470" spans="10:27" ht="12.75">
      <c r="J470" s="4"/>
      <c r="K470" s="4"/>
      <c r="L470" s="4"/>
      <c r="M470" s="4"/>
      <c r="N470" s="5"/>
      <c r="O470" s="5"/>
      <c r="P470" s="5"/>
      <c r="Q470" s="5"/>
      <c r="R470" s="5"/>
      <c r="S470" s="5"/>
      <c r="T470" s="5" t="s">
        <v>2540</v>
      </c>
      <c r="U470" s="5"/>
      <c r="V470" s="5"/>
      <c r="W470" s="5"/>
      <c r="X470" s="5"/>
      <c r="Y470" s="5"/>
      <c r="Z470" s="5" t="s">
        <v>2540</v>
      </c>
      <c r="AA470" s="20" t="s">
        <v>2540</v>
      </c>
    </row>
    <row r="471" spans="1:27" ht="12.75">
      <c r="A471" s="3" t="s">
        <v>2770</v>
      </c>
      <c r="B471" s="3" t="s">
        <v>2759</v>
      </c>
      <c r="C471" s="3" t="s">
        <v>2760</v>
      </c>
      <c r="D471" s="3" t="s">
        <v>2771</v>
      </c>
      <c r="E471" s="3" t="s">
        <v>1589</v>
      </c>
      <c r="F471" s="3" t="s">
        <v>2773</v>
      </c>
      <c r="G471" s="3" t="s">
        <v>1591</v>
      </c>
      <c r="H471" s="3" t="s">
        <v>1592</v>
      </c>
      <c r="I471" s="3" t="s">
        <v>2772</v>
      </c>
      <c r="J471" s="4">
        <v>1</v>
      </c>
      <c r="K471" s="4">
        <v>0</v>
      </c>
      <c r="L471" s="4">
        <v>9</v>
      </c>
      <c r="M471" s="4">
        <v>0</v>
      </c>
      <c r="N471" s="5">
        <v>371556</v>
      </c>
      <c r="O471" s="5">
        <v>0</v>
      </c>
      <c r="P471" s="5">
        <v>69878</v>
      </c>
      <c r="Q471" s="5">
        <v>0</v>
      </c>
      <c r="R471" s="5">
        <v>0</v>
      </c>
      <c r="S471" s="5">
        <v>0</v>
      </c>
      <c r="T471" s="5">
        <f t="shared" si="76"/>
        <v>441434</v>
      </c>
      <c r="U471" s="5">
        <v>128484</v>
      </c>
      <c r="V471" s="5">
        <v>0</v>
      </c>
      <c r="W471" s="5">
        <v>0</v>
      </c>
      <c r="X471" s="5">
        <v>10000</v>
      </c>
      <c r="Y471" s="5">
        <v>579918</v>
      </c>
      <c r="Z471" s="5">
        <f t="shared" si="77"/>
        <v>579918</v>
      </c>
      <c r="AA471" s="20">
        <f t="shared" si="75"/>
        <v>0</v>
      </c>
    </row>
    <row r="472" spans="1:27" ht="12.75">
      <c r="A472" s="3" t="s">
        <v>2770</v>
      </c>
      <c r="B472" s="3" t="s">
        <v>2759</v>
      </c>
      <c r="C472" s="3" t="s">
        <v>2760</v>
      </c>
      <c r="D472" s="3" t="s">
        <v>2774</v>
      </c>
      <c r="E472" s="3" t="s">
        <v>1589</v>
      </c>
      <c r="F472" s="3" t="s">
        <v>2776</v>
      </c>
      <c r="G472" s="3" t="s">
        <v>1591</v>
      </c>
      <c r="H472" s="3" t="s">
        <v>1592</v>
      </c>
      <c r="I472" s="3" t="s">
        <v>2775</v>
      </c>
      <c r="J472" s="4">
        <v>0</v>
      </c>
      <c r="K472" s="4">
        <v>0</v>
      </c>
      <c r="L472" s="4">
        <v>10</v>
      </c>
      <c r="M472" s="4">
        <v>0</v>
      </c>
      <c r="N472" s="5">
        <v>260568</v>
      </c>
      <c r="O472" s="5">
        <v>2000</v>
      </c>
      <c r="P472" s="5">
        <v>7000</v>
      </c>
      <c r="Q472" s="5">
        <v>0</v>
      </c>
      <c r="R472" s="5">
        <v>0</v>
      </c>
      <c r="S472" s="5">
        <v>0</v>
      </c>
      <c r="T472" s="5">
        <f t="shared" si="76"/>
        <v>269568</v>
      </c>
      <c r="U472" s="5">
        <v>78000</v>
      </c>
      <c r="V472" s="5">
        <v>0</v>
      </c>
      <c r="W472" s="5">
        <v>0</v>
      </c>
      <c r="X472" s="5">
        <v>0</v>
      </c>
      <c r="Y472" s="5">
        <v>347568</v>
      </c>
      <c r="Z472" s="5">
        <f t="shared" si="77"/>
        <v>347568</v>
      </c>
      <c r="AA472" s="20">
        <f t="shared" si="75"/>
        <v>0</v>
      </c>
    </row>
    <row r="473" spans="1:27" ht="12.75">
      <c r="A473" s="3" t="s">
        <v>2770</v>
      </c>
      <c r="B473" s="3" t="s">
        <v>2759</v>
      </c>
      <c r="C473" s="3" t="s">
        <v>2760</v>
      </c>
      <c r="D473" s="3" t="s">
        <v>2777</v>
      </c>
      <c r="E473" s="3" t="s">
        <v>1589</v>
      </c>
      <c r="F473" s="3" t="s">
        <v>2779</v>
      </c>
      <c r="G473" s="3" t="s">
        <v>1591</v>
      </c>
      <c r="H473" s="3" t="s">
        <v>1592</v>
      </c>
      <c r="I473" s="3" t="s">
        <v>2778</v>
      </c>
      <c r="J473" s="4">
        <v>0</v>
      </c>
      <c r="K473" s="4">
        <v>0</v>
      </c>
      <c r="L473" s="4">
        <v>6</v>
      </c>
      <c r="M473" s="4">
        <v>0</v>
      </c>
      <c r="N473" s="5">
        <v>163740</v>
      </c>
      <c r="O473" s="5">
        <v>500</v>
      </c>
      <c r="P473" s="5">
        <v>0</v>
      </c>
      <c r="Q473" s="5">
        <v>0</v>
      </c>
      <c r="R473" s="5">
        <v>0</v>
      </c>
      <c r="S473" s="5">
        <v>0</v>
      </c>
      <c r="T473" s="5">
        <f t="shared" si="76"/>
        <v>164240</v>
      </c>
      <c r="U473" s="5">
        <v>70000</v>
      </c>
      <c r="V473" s="5">
        <v>0</v>
      </c>
      <c r="W473" s="5">
        <v>0</v>
      </c>
      <c r="X473" s="5">
        <v>0</v>
      </c>
      <c r="Y473" s="5">
        <v>234240</v>
      </c>
      <c r="Z473" s="5">
        <f t="shared" si="77"/>
        <v>234240</v>
      </c>
      <c r="AA473" s="20">
        <f t="shared" si="75"/>
        <v>0</v>
      </c>
    </row>
    <row r="474" spans="1:27" ht="12.75">
      <c r="A474" s="3" t="s">
        <v>2770</v>
      </c>
      <c r="B474" s="3" t="s">
        <v>2759</v>
      </c>
      <c r="C474" s="3" t="s">
        <v>2760</v>
      </c>
      <c r="D474" s="3" t="s">
        <v>2780</v>
      </c>
      <c r="E474" s="3" t="s">
        <v>1589</v>
      </c>
      <c r="F474" s="3" t="s">
        <v>2782</v>
      </c>
      <c r="G474" s="3" t="s">
        <v>1591</v>
      </c>
      <c r="H474" s="3" t="s">
        <v>1592</v>
      </c>
      <c r="I474" s="3" t="s">
        <v>2781</v>
      </c>
      <c r="J474" s="4">
        <v>0</v>
      </c>
      <c r="K474" s="4">
        <v>0</v>
      </c>
      <c r="L474" s="4">
        <v>99</v>
      </c>
      <c r="M474" s="4">
        <v>0</v>
      </c>
      <c r="N474" s="5">
        <v>1651464</v>
      </c>
      <c r="O474" s="5">
        <v>10000</v>
      </c>
      <c r="P474" s="5">
        <v>159385</v>
      </c>
      <c r="Q474" s="5">
        <v>0</v>
      </c>
      <c r="R474" s="5">
        <v>0</v>
      </c>
      <c r="S474" s="5">
        <v>0</v>
      </c>
      <c r="T474" s="5">
        <f t="shared" si="76"/>
        <v>1820849</v>
      </c>
      <c r="U474" s="5">
        <v>157550</v>
      </c>
      <c r="V474" s="5">
        <v>0</v>
      </c>
      <c r="W474" s="5">
        <v>0</v>
      </c>
      <c r="X474" s="5">
        <v>0</v>
      </c>
      <c r="Y474" s="5">
        <v>1978399</v>
      </c>
      <c r="Z474" s="5">
        <f t="shared" si="77"/>
        <v>1978399</v>
      </c>
      <c r="AA474" s="20">
        <f t="shared" si="75"/>
        <v>0</v>
      </c>
    </row>
    <row r="475" spans="1:27" ht="12.75">
      <c r="A475" s="3" t="s">
        <v>2770</v>
      </c>
      <c r="B475" s="3" t="s">
        <v>2759</v>
      </c>
      <c r="C475" s="3" t="s">
        <v>2760</v>
      </c>
      <c r="D475" s="3" t="s">
        <v>2783</v>
      </c>
      <c r="E475" s="3" t="s">
        <v>1589</v>
      </c>
      <c r="F475" s="3" t="s">
        <v>2785</v>
      </c>
      <c r="G475" s="3" t="s">
        <v>1591</v>
      </c>
      <c r="H475" s="3" t="s">
        <v>1592</v>
      </c>
      <c r="I475" s="3" t="s">
        <v>2784</v>
      </c>
      <c r="J475" s="4">
        <v>0</v>
      </c>
      <c r="K475" s="4">
        <v>0</v>
      </c>
      <c r="L475" s="4">
        <v>8</v>
      </c>
      <c r="M475" s="4">
        <v>0</v>
      </c>
      <c r="N475" s="5">
        <v>212844</v>
      </c>
      <c r="O475" s="5">
        <v>0</v>
      </c>
      <c r="P475" s="5">
        <v>1800</v>
      </c>
      <c r="Q475" s="5">
        <v>0</v>
      </c>
      <c r="R475" s="5">
        <v>0</v>
      </c>
      <c r="S475" s="5">
        <v>0</v>
      </c>
      <c r="T475" s="5">
        <f t="shared" si="76"/>
        <v>214644</v>
      </c>
      <c r="U475" s="5">
        <v>60000</v>
      </c>
      <c r="V475" s="5">
        <v>0</v>
      </c>
      <c r="W475" s="5">
        <v>0</v>
      </c>
      <c r="X475" s="5">
        <v>0</v>
      </c>
      <c r="Y475" s="5">
        <v>274644</v>
      </c>
      <c r="Z475" s="5">
        <f t="shared" si="77"/>
        <v>274644</v>
      </c>
      <c r="AA475" s="20">
        <f t="shared" si="75"/>
        <v>0</v>
      </c>
    </row>
    <row r="476" spans="1:27" ht="12.75">
      <c r="A476" s="3" t="s">
        <v>2770</v>
      </c>
      <c r="B476" s="3" t="s">
        <v>2759</v>
      </c>
      <c r="C476" s="3" t="s">
        <v>2760</v>
      </c>
      <c r="D476" s="3" t="s">
        <v>2786</v>
      </c>
      <c r="E476" s="3" t="s">
        <v>1589</v>
      </c>
      <c r="F476" s="3" t="s">
        <v>2788</v>
      </c>
      <c r="G476" s="3" t="s">
        <v>1591</v>
      </c>
      <c r="H476" s="3" t="s">
        <v>1592</v>
      </c>
      <c r="I476" s="3" t="s">
        <v>2787</v>
      </c>
      <c r="J476" s="4">
        <v>0</v>
      </c>
      <c r="K476" s="4">
        <v>0</v>
      </c>
      <c r="L476" s="4">
        <v>15</v>
      </c>
      <c r="M476" s="4">
        <v>0</v>
      </c>
      <c r="N476" s="5">
        <v>494712</v>
      </c>
      <c r="O476" s="5">
        <v>28000</v>
      </c>
      <c r="P476" s="5">
        <v>24628</v>
      </c>
      <c r="Q476" s="5">
        <v>0</v>
      </c>
      <c r="R476" s="5">
        <v>0</v>
      </c>
      <c r="S476" s="5">
        <v>0</v>
      </c>
      <c r="T476" s="5">
        <f t="shared" si="76"/>
        <v>547340</v>
      </c>
      <c r="U476" s="5">
        <v>200000</v>
      </c>
      <c r="V476" s="5">
        <v>0</v>
      </c>
      <c r="W476" s="5">
        <v>0</v>
      </c>
      <c r="X476" s="5">
        <v>0</v>
      </c>
      <c r="Y476" s="5">
        <v>747340</v>
      </c>
      <c r="Z476" s="5">
        <f t="shared" si="77"/>
        <v>747340</v>
      </c>
      <c r="AA476" s="20">
        <f t="shared" si="75"/>
        <v>0</v>
      </c>
    </row>
    <row r="477" spans="1:27" ht="12.75">
      <c r="A477" s="3" t="s">
        <v>2770</v>
      </c>
      <c r="B477" s="3" t="s">
        <v>2759</v>
      </c>
      <c r="C477" s="3" t="s">
        <v>2760</v>
      </c>
      <c r="D477" s="3" t="s">
        <v>2789</v>
      </c>
      <c r="E477" s="3" t="s">
        <v>1589</v>
      </c>
      <c r="F477" s="3" t="s">
        <v>2791</v>
      </c>
      <c r="G477" s="3" t="s">
        <v>1591</v>
      </c>
      <c r="H477" s="3" t="s">
        <v>1592</v>
      </c>
      <c r="I477" s="3" t="s">
        <v>2413</v>
      </c>
      <c r="J477" s="4">
        <v>0</v>
      </c>
      <c r="K477" s="4">
        <v>0</v>
      </c>
      <c r="L477" s="4">
        <v>0</v>
      </c>
      <c r="M477" s="4">
        <v>0</v>
      </c>
      <c r="N477" s="5">
        <v>0</v>
      </c>
      <c r="O477" s="5">
        <v>0</v>
      </c>
      <c r="P477" s="5">
        <v>0</v>
      </c>
      <c r="Q477" s="5">
        <v>0</v>
      </c>
      <c r="R477" s="5">
        <v>0</v>
      </c>
      <c r="S477" s="5">
        <v>0</v>
      </c>
      <c r="T477" s="5">
        <f t="shared" si="76"/>
        <v>0</v>
      </c>
      <c r="U477" s="5">
        <v>80574</v>
      </c>
      <c r="V477" s="5">
        <v>0</v>
      </c>
      <c r="W477" s="5">
        <v>0</v>
      </c>
      <c r="X477" s="5">
        <v>1000</v>
      </c>
      <c r="Y477" s="5">
        <v>81574</v>
      </c>
      <c r="Z477" s="5">
        <f t="shared" si="77"/>
        <v>81574</v>
      </c>
      <c r="AA477" s="20">
        <f t="shared" si="75"/>
        <v>0</v>
      </c>
    </row>
    <row r="478" spans="1:27" ht="12.75">
      <c r="A478" s="3" t="s">
        <v>2770</v>
      </c>
      <c r="B478" s="3" t="s">
        <v>2759</v>
      </c>
      <c r="C478" s="3" t="s">
        <v>2760</v>
      </c>
      <c r="D478" s="3" t="s">
        <v>2792</v>
      </c>
      <c r="E478" s="3" t="s">
        <v>1589</v>
      </c>
      <c r="F478" s="3" t="s">
        <v>2794</v>
      </c>
      <c r="G478" s="3" t="s">
        <v>1591</v>
      </c>
      <c r="H478" s="3" t="s">
        <v>1592</v>
      </c>
      <c r="I478" s="3" t="s">
        <v>2793</v>
      </c>
      <c r="J478" s="4">
        <v>0</v>
      </c>
      <c r="K478" s="4">
        <v>0</v>
      </c>
      <c r="L478" s="4">
        <v>3</v>
      </c>
      <c r="M478" s="4">
        <v>0</v>
      </c>
      <c r="N478" s="5">
        <v>92916</v>
      </c>
      <c r="O478" s="5">
        <v>0</v>
      </c>
      <c r="P478" s="5">
        <v>66969</v>
      </c>
      <c r="Q478" s="5">
        <v>0</v>
      </c>
      <c r="R478" s="5">
        <v>0</v>
      </c>
      <c r="S478" s="5">
        <v>0</v>
      </c>
      <c r="T478" s="5">
        <f t="shared" si="76"/>
        <v>159885</v>
      </c>
      <c r="U478" s="5">
        <v>26000</v>
      </c>
      <c r="V478" s="5">
        <v>0</v>
      </c>
      <c r="W478" s="5">
        <v>0</v>
      </c>
      <c r="X478" s="5">
        <v>0</v>
      </c>
      <c r="Y478" s="5">
        <v>185885</v>
      </c>
      <c r="Z478" s="5">
        <f t="shared" si="77"/>
        <v>185885</v>
      </c>
      <c r="AA478" s="20">
        <f t="shared" si="75"/>
        <v>0</v>
      </c>
    </row>
    <row r="479" spans="1:27" ht="12.75">
      <c r="A479" s="3" t="s">
        <v>2770</v>
      </c>
      <c r="B479" s="3" t="s">
        <v>2759</v>
      </c>
      <c r="C479" s="3" t="s">
        <v>2760</v>
      </c>
      <c r="D479" s="3" t="s">
        <v>2795</v>
      </c>
      <c r="E479" s="3" t="s">
        <v>1589</v>
      </c>
      <c r="F479" s="3" t="s">
        <v>2797</v>
      </c>
      <c r="G479" s="3" t="s">
        <v>1591</v>
      </c>
      <c r="H479" s="3" t="s">
        <v>1592</v>
      </c>
      <c r="I479" s="3" t="s">
        <v>2796</v>
      </c>
      <c r="J479" s="4">
        <v>0</v>
      </c>
      <c r="K479" s="4">
        <v>0</v>
      </c>
      <c r="L479" s="4">
        <v>0</v>
      </c>
      <c r="M479" s="4">
        <v>0</v>
      </c>
      <c r="N479" s="5">
        <v>0</v>
      </c>
      <c r="O479" s="5">
        <v>0</v>
      </c>
      <c r="P479" s="5">
        <v>0</v>
      </c>
      <c r="Q479" s="5">
        <v>0</v>
      </c>
      <c r="R479" s="5">
        <v>0</v>
      </c>
      <c r="S479" s="5">
        <v>0</v>
      </c>
      <c r="T479" s="5">
        <f t="shared" si="76"/>
        <v>0</v>
      </c>
      <c r="U479" s="5">
        <v>58650</v>
      </c>
      <c r="V479" s="5">
        <v>0</v>
      </c>
      <c r="W479" s="5">
        <v>0</v>
      </c>
      <c r="X479" s="5">
        <v>0</v>
      </c>
      <c r="Y479" s="5">
        <v>58650</v>
      </c>
      <c r="Z479" s="5">
        <f t="shared" si="77"/>
        <v>58650</v>
      </c>
      <c r="AA479" s="20">
        <f t="shared" si="75"/>
        <v>0</v>
      </c>
    </row>
    <row r="480" spans="1:27" ht="12.75">
      <c r="A480" s="3" t="s">
        <v>2770</v>
      </c>
      <c r="B480" s="3" t="s">
        <v>2759</v>
      </c>
      <c r="C480" s="3" t="s">
        <v>2760</v>
      </c>
      <c r="D480" s="3" t="s">
        <v>2798</v>
      </c>
      <c r="E480" s="3" t="s">
        <v>1589</v>
      </c>
      <c r="F480" s="3" t="s">
        <v>2800</v>
      </c>
      <c r="G480" s="3" t="s">
        <v>1591</v>
      </c>
      <c r="H480" s="3" t="s">
        <v>1592</v>
      </c>
      <c r="I480" s="3" t="s">
        <v>2799</v>
      </c>
      <c r="J480" s="4">
        <v>0</v>
      </c>
      <c r="K480" s="4">
        <v>0</v>
      </c>
      <c r="L480" s="4">
        <v>8</v>
      </c>
      <c r="M480" s="4">
        <v>0</v>
      </c>
      <c r="N480" s="5">
        <v>259812</v>
      </c>
      <c r="O480" s="5">
        <v>40000</v>
      </c>
      <c r="P480" s="5">
        <v>8000</v>
      </c>
      <c r="Q480" s="5">
        <v>0</v>
      </c>
      <c r="R480" s="5">
        <v>0</v>
      </c>
      <c r="S480" s="5">
        <v>0</v>
      </c>
      <c r="T480" s="5">
        <f t="shared" si="76"/>
        <v>307812</v>
      </c>
      <c r="U480" s="5">
        <v>160000</v>
      </c>
      <c r="V480" s="5">
        <v>0</v>
      </c>
      <c r="W480" s="5">
        <v>0</v>
      </c>
      <c r="X480" s="5">
        <v>0</v>
      </c>
      <c r="Y480" s="5">
        <v>467812</v>
      </c>
      <c r="Z480" s="5">
        <f t="shared" si="77"/>
        <v>467812</v>
      </c>
      <c r="AA480" s="20">
        <f t="shared" si="75"/>
        <v>0</v>
      </c>
    </row>
    <row r="481" spans="1:27" ht="12.75">
      <c r="A481" s="3" t="s">
        <v>2770</v>
      </c>
      <c r="B481" s="3" t="s">
        <v>2759</v>
      </c>
      <c r="C481" s="3" t="s">
        <v>2760</v>
      </c>
      <c r="D481" s="3" t="s">
        <v>2801</v>
      </c>
      <c r="E481" s="3" t="s">
        <v>1589</v>
      </c>
      <c r="F481" s="3" t="s">
        <v>2803</v>
      </c>
      <c r="G481" s="3" t="s">
        <v>1591</v>
      </c>
      <c r="H481" s="3" t="s">
        <v>1592</v>
      </c>
      <c r="I481" s="3" t="s">
        <v>2802</v>
      </c>
      <c r="J481" s="4">
        <v>0</v>
      </c>
      <c r="K481" s="4">
        <v>0</v>
      </c>
      <c r="L481" s="4">
        <v>14</v>
      </c>
      <c r="M481" s="4">
        <v>0</v>
      </c>
      <c r="N481" s="5">
        <v>383592</v>
      </c>
      <c r="O481" s="5">
        <v>14000</v>
      </c>
      <c r="P481" s="5">
        <v>0</v>
      </c>
      <c r="Q481" s="5">
        <v>0</v>
      </c>
      <c r="R481" s="5">
        <v>0</v>
      </c>
      <c r="S481" s="5">
        <v>0</v>
      </c>
      <c r="T481" s="5">
        <f t="shared" si="76"/>
        <v>397592</v>
      </c>
      <c r="U481" s="5">
        <v>130192</v>
      </c>
      <c r="V481" s="5">
        <v>0</v>
      </c>
      <c r="W481" s="5">
        <v>0</v>
      </c>
      <c r="X481" s="5">
        <v>0</v>
      </c>
      <c r="Y481" s="5">
        <v>527784</v>
      </c>
      <c r="Z481" s="5">
        <f t="shared" si="77"/>
        <v>527784</v>
      </c>
      <c r="AA481" s="20">
        <f t="shared" si="75"/>
        <v>0</v>
      </c>
    </row>
    <row r="482" spans="1:27" ht="12.75">
      <c r="A482" s="3" t="s">
        <v>2770</v>
      </c>
      <c r="B482" s="3" t="s">
        <v>2759</v>
      </c>
      <c r="C482" s="3" t="s">
        <v>2760</v>
      </c>
      <c r="D482" s="3" t="s">
        <v>2804</v>
      </c>
      <c r="E482" s="3" t="s">
        <v>1589</v>
      </c>
      <c r="F482" s="3" t="s">
        <v>2806</v>
      </c>
      <c r="G482" s="3" t="s">
        <v>1591</v>
      </c>
      <c r="H482" s="3" t="s">
        <v>1592</v>
      </c>
      <c r="I482" s="3" t="s">
        <v>2805</v>
      </c>
      <c r="J482" s="4">
        <v>0</v>
      </c>
      <c r="K482" s="4">
        <v>0</v>
      </c>
      <c r="L482" s="4">
        <v>5</v>
      </c>
      <c r="M482" s="4">
        <v>0</v>
      </c>
      <c r="N482" s="5">
        <v>122328</v>
      </c>
      <c r="O482" s="5">
        <v>0</v>
      </c>
      <c r="P482" s="5">
        <v>7000</v>
      </c>
      <c r="Q482" s="5">
        <v>0</v>
      </c>
      <c r="R482" s="5">
        <v>0</v>
      </c>
      <c r="S482" s="5">
        <v>0</v>
      </c>
      <c r="T482" s="5">
        <f t="shared" si="76"/>
        <v>129328</v>
      </c>
      <c r="U482" s="5">
        <v>65000</v>
      </c>
      <c r="V482" s="5">
        <v>0</v>
      </c>
      <c r="W482" s="5">
        <v>0</v>
      </c>
      <c r="X482" s="5">
        <v>0</v>
      </c>
      <c r="Y482" s="5">
        <v>194328</v>
      </c>
      <c r="Z482" s="5">
        <f t="shared" si="77"/>
        <v>194328</v>
      </c>
      <c r="AA482" s="20">
        <f t="shared" si="75"/>
        <v>0</v>
      </c>
    </row>
    <row r="483" spans="1:27" ht="12.75">
      <c r="A483" s="3" t="s">
        <v>2770</v>
      </c>
      <c r="B483" s="3" t="s">
        <v>2759</v>
      </c>
      <c r="C483" s="3" t="s">
        <v>2760</v>
      </c>
      <c r="D483" s="3" t="s">
        <v>2807</v>
      </c>
      <c r="E483" s="3" t="s">
        <v>1589</v>
      </c>
      <c r="F483" s="3" t="s">
        <v>2809</v>
      </c>
      <c r="G483" s="3" t="s">
        <v>1591</v>
      </c>
      <c r="H483" s="3" t="s">
        <v>1592</v>
      </c>
      <c r="I483" s="3" t="s">
        <v>2808</v>
      </c>
      <c r="J483" s="4">
        <v>0</v>
      </c>
      <c r="K483" s="4">
        <v>0</v>
      </c>
      <c r="L483" s="4">
        <v>0</v>
      </c>
      <c r="M483" s="4">
        <v>0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5">
        <f t="shared" si="76"/>
        <v>0</v>
      </c>
      <c r="U483" s="5">
        <v>23748</v>
      </c>
      <c r="V483" s="5">
        <v>0</v>
      </c>
      <c r="W483" s="5">
        <v>0</v>
      </c>
      <c r="X483" s="5">
        <v>0</v>
      </c>
      <c r="Y483" s="5">
        <v>23748</v>
      </c>
      <c r="Z483" s="5">
        <f t="shared" si="77"/>
        <v>23748</v>
      </c>
      <c r="AA483" s="20">
        <f t="shared" si="75"/>
        <v>0</v>
      </c>
    </row>
    <row r="484" spans="1:27" ht="13.5" thickBot="1">
      <c r="A484" s="3" t="s">
        <v>2770</v>
      </c>
      <c r="B484" s="3" t="s">
        <v>2759</v>
      </c>
      <c r="C484" s="3" t="s">
        <v>2760</v>
      </c>
      <c r="D484" s="3" t="s">
        <v>2810</v>
      </c>
      <c r="E484" s="3" t="s">
        <v>1589</v>
      </c>
      <c r="F484" s="3" t="s">
        <v>2812</v>
      </c>
      <c r="G484" s="3" t="s">
        <v>1591</v>
      </c>
      <c r="H484" s="3" t="s">
        <v>1592</v>
      </c>
      <c r="I484" s="3" t="s">
        <v>2811</v>
      </c>
      <c r="J484" s="6">
        <v>0</v>
      </c>
      <c r="K484" s="6">
        <v>0</v>
      </c>
      <c r="L484" s="6">
        <v>0</v>
      </c>
      <c r="M484" s="6">
        <v>0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v>0</v>
      </c>
      <c r="T484" s="7">
        <f t="shared" si="76"/>
        <v>0</v>
      </c>
      <c r="U484" s="7">
        <v>141234</v>
      </c>
      <c r="V484" s="7">
        <v>0</v>
      </c>
      <c r="W484" s="7">
        <v>0</v>
      </c>
      <c r="X484" s="7">
        <v>34200</v>
      </c>
      <c r="Y484" s="7">
        <v>175434</v>
      </c>
      <c r="Z484" s="7">
        <f t="shared" si="77"/>
        <v>175434</v>
      </c>
      <c r="AA484" s="20">
        <f t="shared" si="75"/>
        <v>0</v>
      </c>
    </row>
    <row r="485" spans="9:27" ht="12.75">
      <c r="I485" s="3" t="s">
        <v>182</v>
      </c>
      <c r="J485" s="4">
        <f aca="true" t="shared" si="78" ref="J485:Z485">SUM(J471:J484)</f>
        <v>1</v>
      </c>
      <c r="K485" s="4">
        <f t="shared" si="78"/>
        <v>0</v>
      </c>
      <c r="L485" s="4">
        <f t="shared" si="78"/>
        <v>177</v>
      </c>
      <c r="M485" s="4">
        <f t="shared" si="78"/>
        <v>0</v>
      </c>
      <c r="N485" s="5">
        <f t="shared" si="78"/>
        <v>4013532</v>
      </c>
      <c r="O485" s="5">
        <f t="shared" si="78"/>
        <v>94500</v>
      </c>
      <c r="P485" s="5">
        <f t="shared" si="78"/>
        <v>344660</v>
      </c>
      <c r="Q485" s="5">
        <f t="shared" si="78"/>
        <v>0</v>
      </c>
      <c r="R485" s="5">
        <f t="shared" si="78"/>
        <v>0</v>
      </c>
      <c r="S485" s="5">
        <f t="shared" si="78"/>
        <v>0</v>
      </c>
      <c r="T485" s="5">
        <f t="shared" si="78"/>
        <v>4452692</v>
      </c>
      <c r="U485" s="5">
        <f t="shared" si="78"/>
        <v>1379432</v>
      </c>
      <c r="V485" s="5">
        <f t="shared" si="78"/>
        <v>0</v>
      </c>
      <c r="W485" s="5">
        <f t="shared" si="78"/>
        <v>0</v>
      </c>
      <c r="X485" s="5">
        <f t="shared" si="78"/>
        <v>45200</v>
      </c>
      <c r="Y485" s="5">
        <f t="shared" si="78"/>
        <v>5877324</v>
      </c>
      <c r="Z485" s="5">
        <f t="shared" si="78"/>
        <v>5877324</v>
      </c>
      <c r="AA485" s="20">
        <f t="shared" si="75"/>
        <v>0</v>
      </c>
    </row>
    <row r="486" spans="10:27" ht="12.75">
      <c r="J486" s="4"/>
      <c r="K486" s="4"/>
      <c r="L486" s="4"/>
      <c r="M486" s="4"/>
      <c r="N486" s="5"/>
      <c r="O486" s="5"/>
      <c r="P486" s="5"/>
      <c r="Q486" s="5"/>
      <c r="R486" s="5"/>
      <c r="S486" s="5"/>
      <c r="T486" s="5" t="s">
        <v>2540</v>
      </c>
      <c r="U486" s="5"/>
      <c r="V486" s="5"/>
      <c r="W486" s="5"/>
      <c r="X486" s="5"/>
      <c r="Y486" s="5"/>
      <c r="Z486" s="5" t="s">
        <v>2540</v>
      </c>
      <c r="AA486" s="20" t="s">
        <v>2540</v>
      </c>
    </row>
    <row r="487" spans="1:27" ht="12.75">
      <c r="A487" s="3" t="s">
        <v>2770</v>
      </c>
      <c r="B487" s="3" t="s">
        <v>2759</v>
      </c>
      <c r="C487" s="3" t="s">
        <v>2760</v>
      </c>
      <c r="D487" s="3" t="s">
        <v>2813</v>
      </c>
      <c r="E487" s="3" t="s">
        <v>1589</v>
      </c>
      <c r="F487" s="3" t="s">
        <v>2815</v>
      </c>
      <c r="G487" s="3" t="s">
        <v>1591</v>
      </c>
      <c r="H487" s="3" t="s">
        <v>1592</v>
      </c>
      <c r="I487" s="3" t="s">
        <v>2814</v>
      </c>
      <c r="J487" s="4">
        <v>0</v>
      </c>
      <c r="K487" s="4">
        <v>0</v>
      </c>
      <c r="L487" s="4">
        <v>4</v>
      </c>
      <c r="M487" s="4">
        <v>0</v>
      </c>
      <c r="N487" s="5">
        <v>142452</v>
      </c>
      <c r="O487" s="5">
        <v>850</v>
      </c>
      <c r="P487" s="5">
        <v>5716</v>
      </c>
      <c r="Q487" s="5">
        <v>0</v>
      </c>
      <c r="R487" s="5">
        <v>0</v>
      </c>
      <c r="S487" s="5">
        <v>0</v>
      </c>
      <c r="T487" s="5">
        <f t="shared" si="76"/>
        <v>149018</v>
      </c>
      <c r="U487" s="5">
        <v>25000</v>
      </c>
      <c r="V487" s="5">
        <v>0</v>
      </c>
      <c r="W487" s="5">
        <v>0</v>
      </c>
      <c r="X487" s="5">
        <v>0</v>
      </c>
      <c r="Y487" s="5">
        <v>174018</v>
      </c>
      <c r="Z487" s="5">
        <f t="shared" si="77"/>
        <v>174018</v>
      </c>
      <c r="AA487" s="20">
        <f t="shared" si="75"/>
        <v>0</v>
      </c>
    </row>
    <row r="488" spans="1:27" ht="12.75">
      <c r="A488" s="3" t="s">
        <v>2698</v>
      </c>
      <c r="B488" s="3" t="s">
        <v>2759</v>
      </c>
      <c r="C488" s="3" t="s">
        <v>2760</v>
      </c>
      <c r="D488" s="3" t="s">
        <v>2816</v>
      </c>
      <c r="E488" s="3" t="s">
        <v>1589</v>
      </c>
      <c r="F488" s="3" t="s">
        <v>2818</v>
      </c>
      <c r="G488" s="3" t="s">
        <v>1591</v>
      </c>
      <c r="H488" s="3" t="s">
        <v>1592</v>
      </c>
      <c r="I488" s="3" t="s">
        <v>2817</v>
      </c>
      <c r="J488" s="4">
        <v>0</v>
      </c>
      <c r="K488" s="4">
        <v>0</v>
      </c>
      <c r="L488" s="4">
        <v>14</v>
      </c>
      <c r="M488" s="4">
        <v>0</v>
      </c>
      <c r="N488" s="5">
        <v>284484</v>
      </c>
      <c r="O488" s="5">
        <v>15000</v>
      </c>
      <c r="P488" s="5">
        <v>5860</v>
      </c>
      <c r="Q488" s="5">
        <v>0</v>
      </c>
      <c r="R488" s="5">
        <v>0</v>
      </c>
      <c r="S488" s="5">
        <v>0</v>
      </c>
      <c r="T488" s="5">
        <f t="shared" si="76"/>
        <v>305344</v>
      </c>
      <c r="U488" s="5">
        <v>193284</v>
      </c>
      <c r="V488" s="5">
        <v>0</v>
      </c>
      <c r="W488" s="5">
        <v>0</v>
      </c>
      <c r="X488" s="5">
        <v>0</v>
      </c>
      <c r="Y488" s="5">
        <v>498628</v>
      </c>
      <c r="Z488" s="5">
        <f t="shared" si="77"/>
        <v>498628</v>
      </c>
      <c r="AA488" s="20">
        <f t="shared" si="75"/>
        <v>0</v>
      </c>
    </row>
    <row r="489" spans="1:27" ht="12.75">
      <c r="A489" s="3" t="s">
        <v>2819</v>
      </c>
      <c r="B489" s="3" t="s">
        <v>2759</v>
      </c>
      <c r="C489" s="3" t="s">
        <v>2760</v>
      </c>
      <c r="D489" s="3" t="s">
        <v>2820</v>
      </c>
      <c r="E489" s="3" t="s">
        <v>1589</v>
      </c>
      <c r="F489" s="3" t="s">
        <v>2822</v>
      </c>
      <c r="G489" s="3" t="s">
        <v>1591</v>
      </c>
      <c r="H489" s="3" t="s">
        <v>1592</v>
      </c>
      <c r="I489" s="3" t="s">
        <v>2821</v>
      </c>
      <c r="J489" s="4">
        <v>1</v>
      </c>
      <c r="K489" s="4">
        <v>0</v>
      </c>
      <c r="L489" s="4">
        <v>4.527</v>
      </c>
      <c r="M489" s="4">
        <v>0</v>
      </c>
      <c r="N489" s="5">
        <v>244146</v>
      </c>
      <c r="O489" s="5">
        <v>0</v>
      </c>
      <c r="P489" s="5">
        <v>20728</v>
      </c>
      <c r="Q489" s="5">
        <v>0</v>
      </c>
      <c r="R489" s="5">
        <v>0</v>
      </c>
      <c r="S489" s="5">
        <v>0</v>
      </c>
      <c r="T489" s="5">
        <f t="shared" si="76"/>
        <v>264874</v>
      </c>
      <c r="U489" s="5">
        <v>24581</v>
      </c>
      <c r="V489" s="5">
        <v>0</v>
      </c>
      <c r="W489" s="5">
        <v>0</v>
      </c>
      <c r="X489" s="5">
        <v>0</v>
      </c>
      <c r="Y489" s="5">
        <v>289455</v>
      </c>
      <c r="Z489" s="5">
        <f t="shared" si="77"/>
        <v>289455</v>
      </c>
      <c r="AA489" s="20">
        <f t="shared" si="75"/>
        <v>0</v>
      </c>
    </row>
    <row r="490" spans="10:27" ht="12.75">
      <c r="J490" s="4"/>
      <c r="K490" s="4"/>
      <c r="L490" s="4"/>
      <c r="M490" s="4"/>
      <c r="N490" s="5"/>
      <c r="O490" s="5"/>
      <c r="P490" s="5"/>
      <c r="Q490" s="5"/>
      <c r="R490" s="5"/>
      <c r="S490" s="5"/>
      <c r="T490" s="5" t="s">
        <v>2540</v>
      </c>
      <c r="U490" s="5"/>
      <c r="V490" s="5"/>
      <c r="W490" s="5"/>
      <c r="X490" s="5"/>
      <c r="Y490" s="5"/>
      <c r="Z490" s="5" t="s">
        <v>2540</v>
      </c>
      <c r="AA490" s="20" t="s">
        <v>2540</v>
      </c>
    </row>
    <row r="491" spans="1:27" ht="12.75">
      <c r="A491" s="3" t="s">
        <v>2770</v>
      </c>
      <c r="B491" s="3" t="s">
        <v>2759</v>
      </c>
      <c r="C491" s="3" t="s">
        <v>2760</v>
      </c>
      <c r="D491" s="3" t="s">
        <v>2823</v>
      </c>
      <c r="E491" s="3" t="s">
        <v>1589</v>
      </c>
      <c r="F491" s="3" t="s">
        <v>2825</v>
      </c>
      <c r="G491" s="3" t="s">
        <v>1591</v>
      </c>
      <c r="H491" s="3" t="s">
        <v>1592</v>
      </c>
      <c r="I491" s="3" t="s">
        <v>2824</v>
      </c>
      <c r="J491" s="4">
        <v>0</v>
      </c>
      <c r="K491" s="4">
        <v>0</v>
      </c>
      <c r="L491" s="4">
        <v>0</v>
      </c>
      <c r="M491" s="4">
        <v>0</v>
      </c>
      <c r="N491" s="5">
        <v>0</v>
      </c>
      <c r="O491" s="5">
        <v>0</v>
      </c>
      <c r="P491" s="5">
        <v>0</v>
      </c>
      <c r="Q491" s="5">
        <v>0</v>
      </c>
      <c r="R491" s="5">
        <v>0</v>
      </c>
      <c r="S491" s="5">
        <v>0</v>
      </c>
      <c r="T491" s="5">
        <f t="shared" si="76"/>
        <v>0</v>
      </c>
      <c r="U491" s="5">
        <v>65000</v>
      </c>
      <c r="V491" s="5">
        <v>0</v>
      </c>
      <c r="W491" s="5">
        <v>0</v>
      </c>
      <c r="X491" s="5">
        <v>0</v>
      </c>
      <c r="Y491" s="5">
        <v>65000</v>
      </c>
      <c r="Z491" s="5">
        <f t="shared" si="77"/>
        <v>65000</v>
      </c>
      <c r="AA491" s="20">
        <f t="shared" si="75"/>
        <v>0</v>
      </c>
    </row>
    <row r="492" spans="1:27" ht="12.75">
      <c r="A492" s="3" t="s">
        <v>2770</v>
      </c>
      <c r="B492" s="3" t="s">
        <v>2759</v>
      </c>
      <c r="C492" s="3" t="s">
        <v>2760</v>
      </c>
      <c r="D492" s="3" t="s">
        <v>2826</v>
      </c>
      <c r="E492" s="3" t="s">
        <v>1589</v>
      </c>
      <c r="F492" s="3" t="s">
        <v>2828</v>
      </c>
      <c r="G492" s="3" t="s">
        <v>1591</v>
      </c>
      <c r="H492" s="3" t="s">
        <v>1592</v>
      </c>
      <c r="I492" s="3" t="s">
        <v>2827</v>
      </c>
      <c r="J492" s="4">
        <v>0</v>
      </c>
      <c r="K492" s="4">
        <v>0</v>
      </c>
      <c r="L492" s="4">
        <v>0</v>
      </c>
      <c r="M492" s="4">
        <v>0</v>
      </c>
      <c r="N492" s="5">
        <v>0</v>
      </c>
      <c r="O492" s="5">
        <v>0</v>
      </c>
      <c r="P492" s="5">
        <v>0</v>
      </c>
      <c r="Q492" s="5">
        <v>0</v>
      </c>
      <c r="R492" s="5">
        <v>0</v>
      </c>
      <c r="S492" s="5">
        <v>0</v>
      </c>
      <c r="T492" s="5">
        <f t="shared" si="76"/>
        <v>0</v>
      </c>
      <c r="U492" s="5">
        <v>75000</v>
      </c>
      <c r="V492" s="5">
        <v>0</v>
      </c>
      <c r="W492" s="5">
        <v>0</v>
      </c>
      <c r="X492" s="5">
        <v>0</v>
      </c>
      <c r="Y492" s="5">
        <v>75000</v>
      </c>
      <c r="Z492" s="5">
        <f t="shared" si="77"/>
        <v>75000</v>
      </c>
      <c r="AA492" s="20">
        <f t="shared" si="75"/>
        <v>0</v>
      </c>
    </row>
    <row r="493" spans="1:27" ht="12.75">
      <c r="A493" s="3" t="s">
        <v>2770</v>
      </c>
      <c r="B493" s="3" t="s">
        <v>2759</v>
      </c>
      <c r="C493" s="3" t="s">
        <v>2760</v>
      </c>
      <c r="D493" s="3" t="s">
        <v>2829</v>
      </c>
      <c r="E493" s="3" t="s">
        <v>1589</v>
      </c>
      <c r="F493" s="3" t="s">
        <v>2831</v>
      </c>
      <c r="G493" s="3" t="s">
        <v>1591</v>
      </c>
      <c r="H493" s="3" t="s">
        <v>1592</v>
      </c>
      <c r="I493" s="3" t="s">
        <v>2146</v>
      </c>
      <c r="J493" s="4">
        <v>0</v>
      </c>
      <c r="K493" s="4">
        <v>0</v>
      </c>
      <c r="L493" s="4">
        <v>0</v>
      </c>
      <c r="M493" s="4">
        <v>0</v>
      </c>
      <c r="N493" s="5">
        <v>0</v>
      </c>
      <c r="O493" s="5">
        <v>0</v>
      </c>
      <c r="P493" s="5">
        <v>0</v>
      </c>
      <c r="Q493" s="5">
        <v>0</v>
      </c>
      <c r="R493" s="5">
        <v>0</v>
      </c>
      <c r="S493" s="5">
        <v>0</v>
      </c>
      <c r="T493" s="5">
        <f t="shared" si="76"/>
        <v>0</v>
      </c>
      <c r="U493" s="5">
        <v>4680</v>
      </c>
      <c r="V493" s="5">
        <v>0</v>
      </c>
      <c r="W493" s="5">
        <v>0</v>
      </c>
      <c r="X493" s="5">
        <v>0</v>
      </c>
      <c r="Y493" s="5">
        <v>4680</v>
      </c>
      <c r="Z493" s="5">
        <f t="shared" si="77"/>
        <v>4680</v>
      </c>
      <c r="AA493" s="20">
        <f t="shared" si="75"/>
        <v>0</v>
      </c>
    </row>
    <row r="494" spans="1:27" ht="12.75">
      <c r="A494" s="3" t="s">
        <v>2770</v>
      </c>
      <c r="B494" s="3" t="s">
        <v>2759</v>
      </c>
      <c r="C494" s="3" t="s">
        <v>2760</v>
      </c>
      <c r="D494" s="3" t="s">
        <v>2832</v>
      </c>
      <c r="E494" s="3" t="s">
        <v>1589</v>
      </c>
      <c r="F494" s="3" t="s">
        <v>2834</v>
      </c>
      <c r="G494" s="3" t="s">
        <v>1591</v>
      </c>
      <c r="H494" s="3" t="s">
        <v>1592</v>
      </c>
      <c r="I494" s="3" t="s">
        <v>2833</v>
      </c>
      <c r="J494" s="4">
        <v>0</v>
      </c>
      <c r="K494" s="4">
        <v>0</v>
      </c>
      <c r="L494" s="4">
        <v>0</v>
      </c>
      <c r="M494" s="4">
        <v>0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0</v>
      </c>
      <c r="T494" s="5">
        <f t="shared" si="76"/>
        <v>0</v>
      </c>
      <c r="U494" s="5">
        <v>268218</v>
      </c>
      <c r="V494" s="5">
        <v>0</v>
      </c>
      <c r="W494" s="5">
        <v>0</v>
      </c>
      <c r="X494" s="5">
        <v>0</v>
      </c>
      <c r="Y494" s="5">
        <v>268218</v>
      </c>
      <c r="Z494" s="5">
        <f t="shared" si="77"/>
        <v>268218</v>
      </c>
      <c r="AA494" s="20">
        <f t="shared" si="75"/>
        <v>0</v>
      </c>
    </row>
    <row r="495" spans="1:27" ht="12.75">
      <c r="A495" s="3" t="s">
        <v>2770</v>
      </c>
      <c r="B495" s="3" t="s">
        <v>2759</v>
      </c>
      <c r="C495" s="3" t="s">
        <v>2760</v>
      </c>
      <c r="D495" s="3" t="s">
        <v>2835</v>
      </c>
      <c r="E495" s="3" t="s">
        <v>1589</v>
      </c>
      <c r="F495" s="3" t="s">
        <v>2837</v>
      </c>
      <c r="G495" s="3" t="s">
        <v>1591</v>
      </c>
      <c r="H495" s="3" t="s">
        <v>1592</v>
      </c>
      <c r="I495" s="3" t="s">
        <v>2147</v>
      </c>
      <c r="J495" s="4">
        <v>0</v>
      </c>
      <c r="K495" s="4">
        <v>0</v>
      </c>
      <c r="L495" s="4">
        <v>0</v>
      </c>
      <c r="M495" s="4">
        <v>0</v>
      </c>
      <c r="N495" s="5">
        <v>0</v>
      </c>
      <c r="O495" s="5">
        <v>0</v>
      </c>
      <c r="P495" s="5">
        <v>0</v>
      </c>
      <c r="Q495" s="5">
        <v>0</v>
      </c>
      <c r="R495" s="5">
        <v>0</v>
      </c>
      <c r="S495" s="5">
        <v>0</v>
      </c>
      <c r="T495" s="5">
        <f t="shared" si="76"/>
        <v>0</v>
      </c>
      <c r="U495" s="5">
        <v>3460</v>
      </c>
      <c r="V495" s="5">
        <v>0</v>
      </c>
      <c r="W495" s="5">
        <v>0</v>
      </c>
      <c r="X495" s="5">
        <v>0</v>
      </c>
      <c r="Y495" s="5">
        <v>3460</v>
      </c>
      <c r="Z495" s="5">
        <f t="shared" si="77"/>
        <v>3460</v>
      </c>
      <c r="AA495" s="20">
        <f t="shared" si="75"/>
        <v>0</v>
      </c>
    </row>
    <row r="496" spans="1:27" ht="12.75">
      <c r="A496" s="3" t="s">
        <v>2770</v>
      </c>
      <c r="B496" s="3" t="s">
        <v>2759</v>
      </c>
      <c r="C496" s="3" t="s">
        <v>2760</v>
      </c>
      <c r="D496" s="3" t="s">
        <v>2838</v>
      </c>
      <c r="E496" s="3" t="s">
        <v>1589</v>
      </c>
      <c r="F496" s="3" t="s">
        <v>2840</v>
      </c>
      <c r="G496" s="3" t="s">
        <v>1591</v>
      </c>
      <c r="H496" s="3" t="s">
        <v>1592</v>
      </c>
      <c r="I496" s="3" t="s">
        <v>2148</v>
      </c>
      <c r="J496" s="4">
        <v>0</v>
      </c>
      <c r="K496" s="4">
        <v>0</v>
      </c>
      <c r="L496" s="4">
        <v>0</v>
      </c>
      <c r="M496" s="4">
        <v>0</v>
      </c>
      <c r="N496" s="5">
        <v>0</v>
      </c>
      <c r="O496" s="5">
        <v>0</v>
      </c>
      <c r="P496" s="5">
        <v>0</v>
      </c>
      <c r="Q496" s="5">
        <v>0</v>
      </c>
      <c r="R496" s="5">
        <v>0</v>
      </c>
      <c r="S496" s="5">
        <v>0</v>
      </c>
      <c r="T496" s="5">
        <f t="shared" si="76"/>
        <v>0</v>
      </c>
      <c r="U496" s="5">
        <v>4705</v>
      </c>
      <c r="V496" s="5">
        <v>0</v>
      </c>
      <c r="W496" s="5">
        <v>0</v>
      </c>
      <c r="X496" s="5">
        <v>0</v>
      </c>
      <c r="Y496" s="5">
        <v>4705</v>
      </c>
      <c r="Z496" s="5">
        <f t="shared" si="77"/>
        <v>4705</v>
      </c>
      <c r="AA496" s="20">
        <f t="shared" si="75"/>
        <v>0</v>
      </c>
    </row>
    <row r="497" spans="1:27" ht="12.75">
      <c r="A497" s="3" t="s">
        <v>2770</v>
      </c>
      <c r="B497" s="3" t="s">
        <v>2759</v>
      </c>
      <c r="C497" s="3" t="s">
        <v>2760</v>
      </c>
      <c r="D497" s="3" t="s">
        <v>2841</v>
      </c>
      <c r="E497" s="3" t="s">
        <v>1589</v>
      </c>
      <c r="F497" s="3" t="s">
        <v>2843</v>
      </c>
      <c r="G497" s="3" t="s">
        <v>1591</v>
      </c>
      <c r="H497" s="3" t="s">
        <v>1592</v>
      </c>
      <c r="I497" s="3" t="s">
        <v>2149</v>
      </c>
      <c r="J497" s="4">
        <v>0</v>
      </c>
      <c r="K497" s="4">
        <v>0</v>
      </c>
      <c r="L497" s="4">
        <v>0</v>
      </c>
      <c r="M497" s="4">
        <v>0</v>
      </c>
      <c r="N497" s="5">
        <v>0</v>
      </c>
      <c r="O497" s="5">
        <v>0</v>
      </c>
      <c r="P497" s="5">
        <v>0</v>
      </c>
      <c r="Q497" s="5">
        <v>0</v>
      </c>
      <c r="R497" s="5">
        <v>0</v>
      </c>
      <c r="S497" s="5">
        <v>0</v>
      </c>
      <c r="T497" s="5">
        <f t="shared" si="76"/>
        <v>0</v>
      </c>
      <c r="U497" s="5">
        <v>3450</v>
      </c>
      <c r="V497" s="5">
        <v>0</v>
      </c>
      <c r="W497" s="5">
        <v>0</v>
      </c>
      <c r="X497" s="5">
        <v>0</v>
      </c>
      <c r="Y497" s="5">
        <v>3450</v>
      </c>
      <c r="Z497" s="5">
        <f t="shared" si="77"/>
        <v>3450</v>
      </c>
      <c r="AA497" s="20">
        <f t="shared" si="75"/>
        <v>0</v>
      </c>
    </row>
    <row r="498" spans="1:27" ht="12.75">
      <c r="A498" s="3" t="s">
        <v>1699</v>
      </c>
      <c r="B498" s="3" t="s">
        <v>2759</v>
      </c>
      <c r="C498" s="3" t="s">
        <v>2760</v>
      </c>
      <c r="D498" s="3" t="s">
        <v>2844</v>
      </c>
      <c r="E498" s="3" t="s">
        <v>1589</v>
      </c>
      <c r="F498" s="3" t="s">
        <v>2846</v>
      </c>
      <c r="G498" s="3" t="s">
        <v>1591</v>
      </c>
      <c r="H498" s="3" t="s">
        <v>1592</v>
      </c>
      <c r="I498" s="3" t="s">
        <v>2150</v>
      </c>
      <c r="J498" s="4">
        <v>0</v>
      </c>
      <c r="K498" s="4">
        <v>0</v>
      </c>
      <c r="L498" s="4">
        <v>0</v>
      </c>
      <c r="M498" s="4">
        <v>0</v>
      </c>
      <c r="N498" s="5">
        <v>0</v>
      </c>
      <c r="O498" s="5">
        <v>0</v>
      </c>
      <c r="P498" s="5">
        <v>0</v>
      </c>
      <c r="Q498" s="5">
        <v>0</v>
      </c>
      <c r="R498" s="5">
        <v>0</v>
      </c>
      <c r="S498" s="5">
        <v>0</v>
      </c>
      <c r="T498" s="5">
        <f t="shared" si="76"/>
        <v>0</v>
      </c>
      <c r="U498" s="5">
        <v>7295</v>
      </c>
      <c r="V498" s="5">
        <v>0</v>
      </c>
      <c r="W498" s="5">
        <v>0</v>
      </c>
      <c r="X498" s="5">
        <v>0</v>
      </c>
      <c r="Y498" s="5">
        <v>7295</v>
      </c>
      <c r="Z498" s="5">
        <f t="shared" si="77"/>
        <v>7295</v>
      </c>
      <c r="AA498" s="20">
        <f t="shared" si="75"/>
        <v>0</v>
      </c>
    </row>
    <row r="499" spans="1:27" ht="12.75">
      <c r="A499" s="3" t="s">
        <v>2770</v>
      </c>
      <c r="B499" s="3" t="s">
        <v>2759</v>
      </c>
      <c r="C499" s="3" t="s">
        <v>2760</v>
      </c>
      <c r="D499" s="3" t="s">
        <v>2847</v>
      </c>
      <c r="E499" s="3" t="s">
        <v>1589</v>
      </c>
      <c r="F499" s="3" t="s">
        <v>2849</v>
      </c>
      <c r="G499" s="3" t="s">
        <v>1591</v>
      </c>
      <c r="H499" s="3" t="s">
        <v>1592</v>
      </c>
      <c r="I499" s="3" t="s">
        <v>2151</v>
      </c>
      <c r="J499" s="4">
        <v>0</v>
      </c>
      <c r="K499" s="4">
        <v>0</v>
      </c>
      <c r="L499" s="4">
        <v>0</v>
      </c>
      <c r="M499" s="4">
        <v>0</v>
      </c>
      <c r="N499" s="5">
        <v>0</v>
      </c>
      <c r="O499" s="5">
        <v>0</v>
      </c>
      <c r="P499" s="5">
        <v>0</v>
      </c>
      <c r="Q499" s="5">
        <v>0</v>
      </c>
      <c r="R499" s="5">
        <v>0</v>
      </c>
      <c r="S499" s="5">
        <v>0</v>
      </c>
      <c r="T499" s="5">
        <f t="shared" si="76"/>
        <v>0</v>
      </c>
      <c r="U499" s="5">
        <v>7191</v>
      </c>
      <c r="V499" s="5">
        <v>0</v>
      </c>
      <c r="W499" s="5">
        <v>0</v>
      </c>
      <c r="X499" s="5">
        <v>0</v>
      </c>
      <c r="Y499" s="5">
        <v>7191</v>
      </c>
      <c r="Z499" s="5">
        <f t="shared" si="77"/>
        <v>7191</v>
      </c>
      <c r="AA499" s="20">
        <f t="shared" si="75"/>
        <v>0</v>
      </c>
    </row>
    <row r="500" spans="1:27" ht="12.75">
      <c r="A500" s="3" t="s">
        <v>2770</v>
      </c>
      <c r="B500" s="3" t="s">
        <v>2759</v>
      </c>
      <c r="C500" s="3" t="s">
        <v>2760</v>
      </c>
      <c r="D500" s="3" t="s">
        <v>2850</v>
      </c>
      <c r="E500" s="3" t="s">
        <v>1589</v>
      </c>
      <c r="F500" s="3" t="s">
        <v>2852</v>
      </c>
      <c r="G500" s="3" t="s">
        <v>1591</v>
      </c>
      <c r="H500" s="3" t="s">
        <v>1592</v>
      </c>
      <c r="I500" s="3" t="s">
        <v>2851</v>
      </c>
      <c r="J500" s="4">
        <v>0</v>
      </c>
      <c r="K500" s="4">
        <v>0</v>
      </c>
      <c r="L500" s="4">
        <v>0</v>
      </c>
      <c r="M500" s="4">
        <v>0</v>
      </c>
      <c r="N500" s="5">
        <v>0</v>
      </c>
      <c r="O500" s="5">
        <v>0</v>
      </c>
      <c r="P500" s="5">
        <v>0</v>
      </c>
      <c r="Q500" s="5">
        <v>0</v>
      </c>
      <c r="R500" s="5">
        <v>0</v>
      </c>
      <c r="S500" s="5">
        <v>0</v>
      </c>
      <c r="T500" s="5">
        <f t="shared" si="76"/>
        <v>0</v>
      </c>
      <c r="U500" s="5">
        <v>4965</v>
      </c>
      <c r="V500" s="5">
        <v>0</v>
      </c>
      <c r="W500" s="5">
        <v>0</v>
      </c>
      <c r="X500" s="5">
        <v>0</v>
      </c>
      <c r="Y500" s="5">
        <v>4965</v>
      </c>
      <c r="Z500" s="5">
        <f t="shared" si="77"/>
        <v>4965</v>
      </c>
      <c r="AA500" s="20">
        <f t="shared" si="75"/>
        <v>0</v>
      </c>
    </row>
    <row r="501" spans="1:27" ht="12.75">
      <c r="A501" s="3" t="s">
        <v>2770</v>
      </c>
      <c r="B501" s="3" t="s">
        <v>2759</v>
      </c>
      <c r="C501" s="3" t="s">
        <v>2760</v>
      </c>
      <c r="D501" s="3" t="s">
        <v>2853</v>
      </c>
      <c r="E501" s="3" t="s">
        <v>1589</v>
      </c>
      <c r="F501" s="3" t="s">
        <v>2855</v>
      </c>
      <c r="G501" s="3" t="s">
        <v>1591</v>
      </c>
      <c r="H501" s="3" t="s">
        <v>1592</v>
      </c>
      <c r="I501" s="3" t="s">
        <v>2414</v>
      </c>
      <c r="J501" s="4">
        <v>0</v>
      </c>
      <c r="K501" s="4">
        <v>0</v>
      </c>
      <c r="L501" s="4">
        <v>0</v>
      </c>
      <c r="M501" s="4">
        <v>0</v>
      </c>
      <c r="N501" s="5">
        <v>0</v>
      </c>
      <c r="O501" s="5">
        <v>0</v>
      </c>
      <c r="P501" s="5">
        <v>0</v>
      </c>
      <c r="Q501" s="5">
        <v>0</v>
      </c>
      <c r="R501" s="5">
        <v>0</v>
      </c>
      <c r="S501" s="5">
        <v>0</v>
      </c>
      <c r="T501" s="5">
        <f t="shared" si="76"/>
        <v>0</v>
      </c>
      <c r="U501" s="5">
        <v>89574</v>
      </c>
      <c r="V501" s="5">
        <v>0</v>
      </c>
      <c r="W501" s="5">
        <v>0</v>
      </c>
      <c r="X501" s="5">
        <v>0</v>
      </c>
      <c r="Y501" s="5">
        <v>89574</v>
      </c>
      <c r="Z501" s="5">
        <f t="shared" si="77"/>
        <v>89574</v>
      </c>
      <c r="AA501" s="20">
        <f t="shared" si="75"/>
        <v>0</v>
      </c>
    </row>
    <row r="502" spans="1:27" ht="12.75">
      <c r="A502" s="3" t="s">
        <v>2770</v>
      </c>
      <c r="B502" s="3" t="s">
        <v>2759</v>
      </c>
      <c r="C502" s="3" t="s">
        <v>2760</v>
      </c>
      <c r="D502" s="3" t="s">
        <v>2856</v>
      </c>
      <c r="E502" s="3" t="s">
        <v>1589</v>
      </c>
      <c r="F502" s="3" t="s">
        <v>2858</v>
      </c>
      <c r="G502" s="3" t="s">
        <v>1591</v>
      </c>
      <c r="H502" s="3" t="s">
        <v>1592</v>
      </c>
      <c r="I502" s="3" t="s">
        <v>2857</v>
      </c>
      <c r="J502" s="4">
        <v>0</v>
      </c>
      <c r="K502" s="4">
        <v>0</v>
      </c>
      <c r="L502" s="4">
        <v>0</v>
      </c>
      <c r="M502" s="4">
        <v>0</v>
      </c>
      <c r="N502" s="5">
        <v>0</v>
      </c>
      <c r="O502" s="5">
        <v>0</v>
      </c>
      <c r="P502" s="5">
        <v>0</v>
      </c>
      <c r="Q502" s="5">
        <v>0</v>
      </c>
      <c r="R502" s="5">
        <v>0</v>
      </c>
      <c r="S502" s="5">
        <v>0</v>
      </c>
      <c r="T502" s="5">
        <f t="shared" si="76"/>
        <v>0</v>
      </c>
      <c r="U502" s="5">
        <v>90013</v>
      </c>
      <c r="V502" s="5">
        <v>0</v>
      </c>
      <c r="W502" s="5">
        <v>0</v>
      </c>
      <c r="X502" s="5">
        <v>0</v>
      </c>
      <c r="Y502" s="5">
        <v>90013</v>
      </c>
      <c r="Z502" s="5">
        <f t="shared" si="77"/>
        <v>90013</v>
      </c>
      <c r="AA502" s="20">
        <f t="shared" si="75"/>
        <v>0</v>
      </c>
    </row>
    <row r="503" spans="1:27" ht="13.5" thickBot="1">
      <c r="A503" s="3" t="s">
        <v>2770</v>
      </c>
      <c r="B503" s="3" t="s">
        <v>2759</v>
      </c>
      <c r="C503" s="3" t="s">
        <v>2760</v>
      </c>
      <c r="D503" s="3" t="s">
        <v>2859</v>
      </c>
      <c r="E503" s="3" t="s">
        <v>1589</v>
      </c>
      <c r="F503" s="3" t="s">
        <v>2861</v>
      </c>
      <c r="G503" s="3" t="s">
        <v>1591</v>
      </c>
      <c r="H503" s="3" t="s">
        <v>1592</v>
      </c>
      <c r="I503" s="3" t="s">
        <v>2860</v>
      </c>
      <c r="J503" s="6">
        <v>0</v>
      </c>
      <c r="K503" s="6">
        <v>0</v>
      </c>
      <c r="L503" s="6">
        <v>0</v>
      </c>
      <c r="M503" s="6">
        <v>0</v>
      </c>
      <c r="N503" s="7">
        <v>0</v>
      </c>
      <c r="O503" s="7">
        <v>0</v>
      </c>
      <c r="P503" s="7">
        <v>0</v>
      </c>
      <c r="Q503" s="7">
        <v>0</v>
      </c>
      <c r="R503" s="7">
        <v>0</v>
      </c>
      <c r="S503" s="7">
        <v>0</v>
      </c>
      <c r="T503" s="7">
        <f t="shared" si="76"/>
        <v>0</v>
      </c>
      <c r="U503" s="7">
        <v>160027</v>
      </c>
      <c r="V503" s="7">
        <v>0</v>
      </c>
      <c r="W503" s="7">
        <v>0</v>
      </c>
      <c r="X503" s="7">
        <v>0</v>
      </c>
      <c r="Y503" s="7">
        <v>160027</v>
      </c>
      <c r="Z503" s="7">
        <f t="shared" si="77"/>
        <v>160027</v>
      </c>
      <c r="AA503" s="20">
        <f t="shared" si="75"/>
        <v>0</v>
      </c>
    </row>
    <row r="504" spans="9:27" ht="12.75">
      <c r="I504" s="3" t="s">
        <v>183</v>
      </c>
      <c r="J504" s="4">
        <f aca="true" t="shared" si="79" ref="J504:Z504">SUM(J491:J503)</f>
        <v>0</v>
      </c>
      <c r="K504" s="4">
        <f t="shared" si="79"/>
        <v>0</v>
      </c>
      <c r="L504" s="4">
        <f t="shared" si="79"/>
        <v>0</v>
      </c>
      <c r="M504" s="4">
        <f t="shared" si="79"/>
        <v>0</v>
      </c>
      <c r="N504" s="5">
        <f t="shared" si="79"/>
        <v>0</v>
      </c>
      <c r="O504" s="5">
        <f t="shared" si="79"/>
        <v>0</v>
      </c>
      <c r="P504" s="5">
        <f t="shared" si="79"/>
        <v>0</v>
      </c>
      <c r="Q504" s="5">
        <f t="shared" si="79"/>
        <v>0</v>
      </c>
      <c r="R504" s="5">
        <f t="shared" si="79"/>
        <v>0</v>
      </c>
      <c r="S504" s="5">
        <f t="shared" si="79"/>
        <v>0</v>
      </c>
      <c r="T504" s="5">
        <f t="shared" si="79"/>
        <v>0</v>
      </c>
      <c r="U504" s="5">
        <f t="shared" si="79"/>
        <v>783578</v>
      </c>
      <c r="V504" s="5">
        <f t="shared" si="79"/>
        <v>0</v>
      </c>
      <c r="W504" s="5">
        <f t="shared" si="79"/>
        <v>0</v>
      </c>
      <c r="X504" s="5">
        <f t="shared" si="79"/>
        <v>0</v>
      </c>
      <c r="Y504" s="5">
        <f t="shared" si="79"/>
        <v>783578</v>
      </c>
      <c r="Z504" s="5">
        <f t="shared" si="79"/>
        <v>783578</v>
      </c>
      <c r="AA504" s="20">
        <f t="shared" si="75"/>
        <v>0</v>
      </c>
    </row>
    <row r="505" spans="10:27" ht="13.5" thickBot="1">
      <c r="J505" s="6"/>
      <c r="K505" s="6"/>
      <c r="L505" s="6"/>
      <c r="M505" s="6"/>
      <c r="N505" s="7"/>
      <c r="O505" s="7"/>
      <c r="P505" s="7"/>
      <c r="Q505" s="7"/>
      <c r="R505" s="7"/>
      <c r="S505" s="7"/>
      <c r="T505" s="7" t="s">
        <v>2540</v>
      </c>
      <c r="U505" s="7"/>
      <c r="V505" s="7"/>
      <c r="W505" s="7"/>
      <c r="X505" s="7"/>
      <c r="Y505" s="7"/>
      <c r="Z505" s="7" t="s">
        <v>2540</v>
      </c>
      <c r="AA505" s="20" t="s">
        <v>2540</v>
      </c>
    </row>
    <row r="506" spans="9:27" ht="12.75">
      <c r="I506" s="3" t="s">
        <v>184</v>
      </c>
      <c r="J506" s="4">
        <f>SUM(J467:J469)+SUM(J487:J489)+(J485)+(J504)</f>
        <v>2</v>
      </c>
      <c r="K506" s="4">
        <f aca="true" t="shared" si="80" ref="K506:Y506">SUM(K467:K469)+SUM(K487:K489)+(K485)+(K504)</f>
        <v>0</v>
      </c>
      <c r="L506" s="4">
        <f t="shared" si="80"/>
        <v>199.527</v>
      </c>
      <c r="M506" s="4">
        <f t="shared" si="80"/>
        <v>0</v>
      </c>
      <c r="N506" s="5">
        <f t="shared" si="80"/>
        <v>4684614</v>
      </c>
      <c r="O506" s="5">
        <f t="shared" si="80"/>
        <v>133395</v>
      </c>
      <c r="P506" s="5">
        <f t="shared" si="80"/>
        <v>376964</v>
      </c>
      <c r="Q506" s="5">
        <f t="shared" si="80"/>
        <v>0</v>
      </c>
      <c r="R506" s="5">
        <f t="shared" si="80"/>
        <v>1732725</v>
      </c>
      <c r="S506" s="5">
        <f t="shared" si="80"/>
        <v>0</v>
      </c>
      <c r="T506" s="5">
        <f t="shared" si="80"/>
        <v>6927698</v>
      </c>
      <c r="U506" s="5">
        <f t="shared" si="80"/>
        <v>2405875</v>
      </c>
      <c r="V506" s="5">
        <f t="shared" si="80"/>
        <v>0</v>
      </c>
      <c r="W506" s="5">
        <f t="shared" si="80"/>
        <v>0</v>
      </c>
      <c r="X506" s="5">
        <f t="shared" si="80"/>
        <v>45200</v>
      </c>
      <c r="Y506" s="5">
        <f t="shared" si="80"/>
        <v>9378773</v>
      </c>
      <c r="Z506" s="12">
        <f t="shared" si="77"/>
        <v>9378773</v>
      </c>
      <c r="AA506" s="20">
        <f t="shared" si="75"/>
        <v>0</v>
      </c>
    </row>
    <row r="507" spans="10:27" ht="12.75">
      <c r="J507" s="4"/>
      <c r="K507" s="4"/>
      <c r="L507" s="4"/>
      <c r="M507" s="4"/>
      <c r="N507" s="5"/>
      <c r="O507" s="5"/>
      <c r="P507" s="5"/>
      <c r="Q507" s="5"/>
      <c r="R507" s="5"/>
      <c r="S507" s="5"/>
      <c r="T507" s="5" t="s">
        <v>2540</v>
      </c>
      <c r="U507" s="5"/>
      <c r="V507" s="5"/>
      <c r="W507" s="5"/>
      <c r="X507" s="5"/>
      <c r="Y507" s="5"/>
      <c r="Z507" s="5" t="s">
        <v>2540</v>
      </c>
      <c r="AA507" s="20" t="s">
        <v>2540</v>
      </c>
    </row>
    <row r="508" spans="9:27" ht="12.75">
      <c r="I508" s="3" t="s">
        <v>2863</v>
      </c>
      <c r="J508" s="4"/>
      <c r="K508" s="4"/>
      <c r="L508" s="4"/>
      <c r="M508" s="4"/>
      <c r="N508" s="5"/>
      <c r="O508" s="5"/>
      <c r="P508" s="5"/>
      <c r="Q508" s="5"/>
      <c r="R508" s="5"/>
      <c r="S508" s="5"/>
      <c r="T508" s="5" t="s">
        <v>2540</v>
      </c>
      <c r="U508" s="5"/>
      <c r="V508" s="5"/>
      <c r="W508" s="5"/>
      <c r="X508" s="5"/>
      <c r="Y508" s="5"/>
      <c r="Z508" s="5" t="s">
        <v>2540</v>
      </c>
      <c r="AA508" s="20" t="s">
        <v>2540</v>
      </c>
    </row>
    <row r="509" spans="10:27" ht="12.75">
      <c r="J509" s="4"/>
      <c r="K509" s="4"/>
      <c r="L509" s="4"/>
      <c r="M509" s="4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20"/>
    </row>
    <row r="510" spans="1:27" ht="12.75">
      <c r="A510" s="3" t="s">
        <v>1668</v>
      </c>
      <c r="B510" s="3" t="s">
        <v>2862</v>
      </c>
      <c r="C510" s="3" t="s">
        <v>2863</v>
      </c>
      <c r="D510" s="3" t="s">
        <v>2864</v>
      </c>
      <c r="E510" s="3" t="s">
        <v>1589</v>
      </c>
      <c r="F510" s="3" t="s">
        <v>2866</v>
      </c>
      <c r="G510" s="3" t="s">
        <v>1591</v>
      </c>
      <c r="H510" s="3" t="s">
        <v>1592</v>
      </c>
      <c r="I510" s="3" t="s">
        <v>2153</v>
      </c>
      <c r="J510" s="4">
        <v>0</v>
      </c>
      <c r="K510" s="4">
        <v>0</v>
      </c>
      <c r="L510" s="4">
        <v>0</v>
      </c>
      <c r="M510" s="4">
        <v>0</v>
      </c>
      <c r="N510" s="5">
        <v>0</v>
      </c>
      <c r="O510" s="5">
        <v>0</v>
      </c>
      <c r="P510" s="5">
        <v>0</v>
      </c>
      <c r="Q510" s="5">
        <v>0</v>
      </c>
      <c r="R510" s="5">
        <f>2197566-26657</f>
        <v>2170909</v>
      </c>
      <c r="S510" s="5">
        <v>0</v>
      </c>
      <c r="T510" s="5">
        <f t="shared" si="76"/>
        <v>2170909</v>
      </c>
      <c r="U510" s="5">
        <f>SUM(S510:S510)</f>
        <v>0</v>
      </c>
      <c r="V510" s="5">
        <v>0</v>
      </c>
      <c r="W510" s="5">
        <v>0</v>
      </c>
      <c r="X510" s="5">
        <v>0</v>
      </c>
      <c r="Y510" s="5">
        <v>2170909</v>
      </c>
      <c r="Z510" s="5">
        <f t="shared" si="77"/>
        <v>2170909</v>
      </c>
      <c r="AA510" s="20">
        <f t="shared" si="75"/>
        <v>0</v>
      </c>
    </row>
    <row r="511" spans="1:27" ht="12.75">
      <c r="A511" s="3" t="s">
        <v>1668</v>
      </c>
      <c r="B511" s="3" t="s">
        <v>2862</v>
      </c>
      <c r="C511" s="3" t="s">
        <v>2863</v>
      </c>
      <c r="D511" s="3" t="s">
        <v>2867</v>
      </c>
      <c r="E511" s="3" t="s">
        <v>1589</v>
      </c>
      <c r="F511" s="3" t="s">
        <v>2870</v>
      </c>
      <c r="G511" s="3" t="s">
        <v>1591</v>
      </c>
      <c r="H511" s="3" t="s">
        <v>1592</v>
      </c>
      <c r="I511" s="3" t="s">
        <v>2154</v>
      </c>
      <c r="J511" s="4">
        <v>0</v>
      </c>
      <c r="K511" s="4">
        <v>0</v>
      </c>
      <c r="L511" s="4">
        <v>0</v>
      </c>
      <c r="M511" s="4">
        <v>0</v>
      </c>
      <c r="N511" s="5">
        <v>0</v>
      </c>
      <c r="O511" s="5">
        <v>0</v>
      </c>
      <c r="P511" s="5">
        <v>0</v>
      </c>
      <c r="Q511" s="5">
        <v>0</v>
      </c>
      <c r="R511" s="5">
        <v>10614</v>
      </c>
      <c r="S511" s="5">
        <v>0</v>
      </c>
      <c r="T511" s="5">
        <f t="shared" si="76"/>
        <v>10614</v>
      </c>
      <c r="U511" s="5">
        <f>SUM(S511:S511)</f>
        <v>0</v>
      </c>
      <c r="V511" s="5">
        <v>0</v>
      </c>
      <c r="W511" s="5">
        <v>0</v>
      </c>
      <c r="X511" s="5">
        <v>0</v>
      </c>
      <c r="Y511" s="5">
        <v>10614</v>
      </c>
      <c r="Z511" s="5">
        <f t="shared" si="77"/>
        <v>10614</v>
      </c>
      <c r="AA511" s="20">
        <f t="shared" si="75"/>
        <v>0</v>
      </c>
    </row>
    <row r="512" spans="1:27" ht="12.75">
      <c r="A512" s="3" t="s">
        <v>1668</v>
      </c>
      <c r="B512" s="3" t="s">
        <v>2862</v>
      </c>
      <c r="C512" s="3" t="s">
        <v>2863</v>
      </c>
      <c r="D512" s="3" t="s">
        <v>2871</v>
      </c>
      <c r="E512" s="3" t="s">
        <v>1589</v>
      </c>
      <c r="F512" s="3" t="s">
        <v>2873</v>
      </c>
      <c r="G512" s="3" t="s">
        <v>1591</v>
      </c>
      <c r="H512" s="3" t="s">
        <v>1592</v>
      </c>
      <c r="I512" s="3" t="s">
        <v>2872</v>
      </c>
      <c r="J512" s="4">
        <v>0</v>
      </c>
      <c r="K512" s="4">
        <v>0</v>
      </c>
      <c r="L512" s="4">
        <v>0</v>
      </c>
      <c r="M512" s="4">
        <v>0</v>
      </c>
      <c r="N512" s="5">
        <v>0</v>
      </c>
      <c r="O512" s="5">
        <v>26657</v>
      </c>
      <c r="P512" s="5">
        <v>0</v>
      </c>
      <c r="Q512" s="5">
        <v>0</v>
      </c>
      <c r="R512" s="5">
        <v>17800</v>
      </c>
      <c r="S512" s="5">
        <v>0</v>
      </c>
      <c r="T512" s="5">
        <f t="shared" si="76"/>
        <v>44457</v>
      </c>
      <c r="U512" s="5">
        <f>SUM(S512:S512)</f>
        <v>0</v>
      </c>
      <c r="V512" s="5">
        <v>0</v>
      </c>
      <c r="W512" s="5">
        <v>0</v>
      </c>
      <c r="X512" s="5">
        <v>0</v>
      </c>
      <c r="Y512" s="5">
        <v>44457</v>
      </c>
      <c r="Z512" s="5">
        <f t="shared" si="77"/>
        <v>44457</v>
      </c>
      <c r="AA512" s="20">
        <f t="shared" si="75"/>
        <v>0</v>
      </c>
    </row>
    <row r="513" spans="1:27" ht="12.75">
      <c r="A513" s="3" t="s">
        <v>2874</v>
      </c>
      <c r="B513" s="3" t="s">
        <v>2862</v>
      </c>
      <c r="C513" s="3" t="s">
        <v>2863</v>
      </c>
      <c r="D513" s="3" t="s">
        <v>2875</v>
      </c>
      <c r="E513" s="3" t="s">
        <v>1589</v>
      </c>
      <c r="F513" s="3" t="s">
        <v>2877</v>
      </c>
      <c r="G513" s="3" t="s">
        <v>1591</v>
      </c>
      <c r="H513" s="3" t="s">
        <v>1592</v>
      </c>
      <c r="I513" s="3" t="s">
        <v>2876</v>
      </c>
      <c r="J513" s="4">
        <v>0</v>
      </c>
      <c r="K513" s="4">
        <v>0</v>
      </c>
      <c r="L513" s="4">
        <v>0</v>
      </c>
      <c r="M513" s="4">
        <v>0</v>
      </c>
      <c r="N513" s="5">
        <v>0</v>
      </c>
      <c r="O513" s="5">
        <v>0</v>
      </c>
      <c r="P513" s="5">
        <v>0</v>
      </c>
      <c r="Q513" s="5">
        <v>0</v>
      </c>
      <c r="R513" s="5">
        <v>0</v>
      </c>
      <c r="S513" s="5">
        <v>0</v>
      </c>
      <c r="T513" s="5">
        <f t="shared" si="76"/>
        <v>0</v>
      </c>
      <c r="U513" s="5">
        <f>SUM(S513:S513)</f>
        <v>0</v>
      </c>
      <c r="V513" s="5">
        <v>0</v>
      </c>
      <c r="W513" s="5">
        <v>22106</v>
      </c>
      <c r="X513" s="5">
        <v>0</v>
      </c>
      <c r="Y513" s="5">
        <v>22106</v>
      </c>
      <c r="Z513" s="5">
        <f t="shared" si="77"/>
        <v>22106</v>
      </c>
      <c r="AA513" s="20">
        <f t="shared" si="75"/>
        <v>0</v>
      </c>
    </row>
    <row r="514" spans="1:27" ht="12.75">
      <c r="A514" s="3" t="s">
        <v>2878</v>
      </c>
      <c r="B514" s="3" t="s">
        <v>2862</v>
      </c>
      <c r="C514" s="3" t="s">
        <v>2863</v>
      </c>
      <c r="D514" s="3" t="s">
        <v>2879</v>
      </c>
      <c r="E514" s="3" t="s">
        <v>1589</v>
      </c>
      <c r="F514" s="3" t="s">
        <v>2881</v>
      </c>
      <c r="G514" s="3" t="s">
        <v>1591</v>
      </c>
      <c r="H514" s="3" t="s">
        <v>1592</v>
      </c>
      <c r="I514" s="3" t="s">
        <v>2880</v>
      </c>
      <c r="J514" s="4">
        <v>0</v>
      </c>
      <c r="K514" s="4">
        <v>0</v>
      </c>
      <c r="L514" s="4">
        <v>0</v>
      </c>
      <c r="M514" s="4">
        <v>0</v>
      </c>
      <c r="N514" s="5">
        <v>0</v>
      </c>
      <c r="O514" s="5">
        <v>0</v>
      </c>
      <c r="P514" s="5">
        <v>0</v>
      </c>
      <c r="Q514" s="5">
        <v>0</v>
      </c>
      <c r="R514" s="5">
        <v>0</v>
      </c>
      <c r="S514" s="5">
        <v>0</v>
      </c>
      <c r="T514" s="5">
        <f t="shared" si="76"/>
        <v>0</v>
      </c>
      <c r="U514" s="5">
        <v>44323</v>
      </c>
      <c r="V514" s="5">
        <v>0</v>
      </c>
      <c r="W514" s="5">
        <v>0</v>
      </c>
      <c r="X514" s="5">
        <v>8500</v>
      </c>
      <c r="Y514" s="5">
        <v>52823</v>
      </c>
      <c r="Z514" s="5">
        <f t="shared" si="77"/>
        <v>52823</v>
      </c>
      <c r="AA514" s="20">
        <f t="shared" si="75"/>
        <v>0</v>
      </c>
    </row>
    <row r="515" spans="1:27" ht="12.75">
      <c r="A515" s="3" t="s">
        <v>2878</v>
      </c>
      <c r="B515" s="3" t="s">
        <v>2862</v>
      </c>
      <c r="C515" s="3" t="s">
        <v>2863</v>
      </c>
      <c r="D515" s="3" t="s">
        <v>2896</v>
      </c>
      <c r="E515" s="3" t="s">
        <v>1589</v>
      </c>
      <c r="F515" s="3" t="s">
        <v>2898</v>
      </c>
      <c r="G515" s="3" t="s">
        <v>1591</v>
      </c>
      <c r="H515" s="3" t="s">
        <v>1592</v>
      </c>
      <c r="I515" s="3" t="s">
        <v>2897</v>
      </c>
      <c r="J515" s="4">
        <v>2</v>
      </c>
      <c r="K515" s="4">
        <v>0</v>
      </c>
      <c r="L515" s="4">
        <v>0</v>
      </c>
      <c r="M515" s="4">
        <v>0</v>
      </c>
      <c r="N515" s="5">
        <v>94752</v>
      </c>
      <c r="O515" s="5">
        <v>0</v>
      </c>
      <c r="P515" s="5">
        <v>0</v>
      </c>
      <c r="Q515" s="5">
        <v>0</v>
      </c>
      <c r="R515" s="5">
        <v>0</v>
      </c>
      <c r="S515" s="5">
        <v>0</v>
      </c>
      <c r="T515" s="5">
        <f t="shared" si="76"/>
        <v>94752</v>
      </c>
      <c r="U515" s="5">
        <v>1161</v>
      </c>
      <c r="V515" s="5">
        <v>0</v>
      </c>
      <c r="W515" s="5">
        <v>0</v>
      </c>
      <c r="X515" s="5">
        <v>0</v>
      </c>
      <c r="Y515" s="5">
        <v>95913</v>
      </c>
      <c r="Z515" s="5">
        <f t="shared" si="77"/>
        <v>95913</v>
      </c>
      <c r="AA515" s="20">
        <f t="shared" si="75"/>
        <v>0</v>
      </c>
    </row>
    <row r="516" spans="1:27" ht="12.75">
      <c r="A516" s="3" t="s">
        <v>2874</v>
      </c>
      <c r="B516" s="3" t="s">
        <v>2862</v>
      </c>
      <c r="C516" s="3" t="s">
        <v>2863</v>
      </c>
      <c r="D516" s="3" t="s">
        <v>2882</v>
      </c>
      <c r="E516" s="3" t="s">
        <v>1589</v>
      </c>
      <c r="F516" s="3" t="s">
        <v>2884</v>
      </c>
      <c r="G516" s="3" t="s">
        <v>1591</v>
      </c>
      <c r="H516" s="3" t="s">
        <v>1592</v>
      </c>
      <c r="I516" s="3" t="s">
        <v>2883</v>
      </c>
      <c r="J516" s="4">
        <v>0</v>
      </c>
      <c r="K516" s="4">
        <v>0</v>
      </c>
      <c r="L516" s="4">
        <v>0</v>
      </c>
      <c r="M516" s="4">
        <v>0</v>
      </c>
      <c r="N516" s="5">
        <v>0</v>
      </c>
      <c r="O516" s="5">
        <v>0</v>
      </c>
      <c r="P516" s="5">
        <v>74595</v>
      </c>
      <c r="Q516" s="5">
        <v>0</v>
      </c>
      <c r="R516" s="5">
        <v>0</v>
      </c>
      <c r="S516" s="5">
        <v>0</v>
      </c>
      <c r="T516" s="5">
        <f t="shared" si="76"/>
        <v>74595</v>
      </c>
      <c r="U516" s="5">
        <v>6811</v>
      </c>
      <c r="V516" s="5">
        <v>0</v>
      </c>
      <c r="W516" s="5">
        <v>0</v>
      </c>
      <c r="X516" s="5">
        <v>9045</v>
      </c>
      <c r="Y516" s="5">
        <v>90451</v>
      </c>
      <c r="Z516" s="5">
        <f t="shared" si="77"/>
        <v>90451</v>
      </c>
      <c r="AA516" s="20">
        <f t="shared" si="75"/>
        <v>0</v>
      </c>
    </row>
    <row r="517" spans="1:27" ht="12.75">
      <c r="A517" s="3" t="s">
        <v>2885</v>
      </c>
      <c r="B517" s="3" t="s">
        <v>2862</v>
      </c>
      <c r="C517" s="3" t="s">
        <v>2863</v>
      </c>
      <c r="D517" s="3" t="s">
        <v>2886</v>
      </c>
      <c r="E517" s="3" t="s">
        <v>1589</v>
      </c>
      <c r="F517" s="3" t="s">
        <v>2888</v>
      </c>
      <c r="G517" s="3" t="s">
        <v>1591</v>
      </c>
      <c r="H517" s="3" t="s">
        <v>1592</v>
      </c>
      <c r="I517" s="3" t="s">
        <v>2887</v>
      </c>
      <c r="J517" s="4">
        <v>3</v>
      </c>
      <c r="K517" s="4">
        <v>0</v>
      </c>
      <c r="L517" s="4">
        <v>1</v>
      </c>
      <c r="M517" s="4">
        <v>0</v>
      </c>
      <c r="N517" s="5">
        <v>262236</v>
      </c>
      <c r="O517" s="5">
        <v>0</v>
      </c>
      <c r="P517" s="5">
        <v>23434</v>
      </c>
      <c r="Q517" s="5">
        <v>0</v>
      </c>
      <c r="R517" s="5">
        <v>0</v>
      </c>
      <c r="S517" s="5">
        <v>0</v>
      </c>
      <c r="T517" s="5">
        <f t="shared" si="76"/>
        <v>285670</v>
      </c>
      <c r="U517" s="5">
        <v>27180</v>
      </c>
      <c r="V517" s="5">
        <v>0</v>
      </c>
      <c r="W517" s="5">
        <v>0</v>
      </c>
      <c r="X517" s="5">
        <v>0</v>
      </c>
      <c r="Y517" s="5">
        <v>312850</v>
      </c>
      <c r="Z517" s="5">
        <f t="shared" si="77"/>
        <v>312850</v>
      </c>
      <c r="AA517" s="20">
        <f t="shared" si="75"/>
        <v>0</v>
      </c>
    </row>
    <row r="518" spans="1:27" ht="12.75">
      <c r="A518" s="3" t="s">
        <v>2889</v>
      </c>
      <c r="B518" s="3" t="s">
        <v>2862</v>
      </c>
      <c r="C518" s="3" t="s">
        <v>2863</v>
      </c>
      <c r="D518" s="3" t="s">
        <v>2890</v>
      </c>
      <c r="E518" s="3" t="s">
        <v>1589</v>
      </c>
      <c r="F518" s="3" t="s">
        <v>2892</v>
      </c>
      <c r="G518" s="3" t="s">
        <v>1591</v>
      </c>
      <c r="H518" s="3" t="s">
        <v>1592</v>
      </c>
      <c r="I518" s="3" t="s">
        <v>2891</v>
      </c>
      <c r="J518" s="4">
        <v>0</v>
      </c>
      <c r="K518" s="4">
        <v>0</v>
      </c>
      <c r="L518" s="4">
        <v>0</v>
      </c>
      <c r="M518" s="4">
        <v>0</v>
      </c>
      <c r="N518" s="5">
        <v>0</v>
      </c>
      <c r="O518" s="5">
        <v>0</v>
      </c>
      <c r="P518" s="5">
        <v>0</v>
      </c>
      <c r="Q518" s="5">
        <v>0</v>
      </c>
      <c r="R518" s="5">
        <v>0</v>
      </c>
      <c r="S518" s="5">
        <v>0</v>
      </c>
      <c r="T518" s="5">
        <f t="shared" si="76"/>
        <v>0</v>
      </c>
      <c r="U518" s="5">
        <v>1500</v>
      </c>
      <c r="V518" s="5">
        <v>0</v>
      </c>
      <c r="W518" s="5">
        <v>0</v>
      </c>
      <c r="X518" s="5">
        <v>0</v>
      </c>
      <c r="Y518" s="5">
        <v>1500</v>
      </c>
      <c r="Z518" s="5">
        <f t="shared" si="77"/>
        <v>1500</v>
      </c>
      <c r="AA518" s="20">
        <f t="shared" si="75"/>
        <v>0</v>
      </c>
    </row>
    <row r="519" spans="1:27" ht="12.75">
      <c r="A519" s="3" t="s">
        <v>2889</v>
      </c>
      <c r="B519" s="3" t="s">
        <v>2862</v>
      </c>
      <c r="C519" s="3" t="s">
        <v>2863</v>
      </c>
      <c r="D519" s="3" t="s">
        <v>2893</v>
      </c>
      <c r="E519" s="3" t="s">
        <v>1589</v>
      </c>
      <c r="F519" s="3" t="s">
        <v>2895</v>
      </c>
      <c r="G519" s="3" t="s">
        <v>1591</v>
      </c>
      <c r="H519" s="3" t="s">
        <v>1592</v>
      </c>
      <c r="I519" s="3" t="s">
        <v>2894</v>
      </c>
      <c r="J519" s="4">
        <v>5</v>
      </c>
      <c r="K519" s="4">
        <v>0</v>
      </c>
      <c r="L519" s="4">
        <v>3</v>
      </c>
      <c r="M519" s="4">
        <v>0</v>
      </c>
      <c r="N519" s="5">
        <v>361812</v>
      </c>
      <c r="O519" s="5">
        <v>0</v>
      </c>
      <c r="P519" s="5">
        <v>6864</v>
      </c>
      <c r="Q519" s="5">
        <v>0</v>
      </c>
      <c r="R519" s="5">
        <v>0</v>
      </c>
      <c r="S519" s="5">
        <v>0</v>
      </c>
      <c r="T519" s="5">
        <f t="shared" si="76"/>
        <v>368676</v>
      </c>
      <c r="U519" s="5">
        <v>32839</v>
      </c>
      <c r="V519" s="5">
        <v>0</v>
      </c>
      <c r="W519" s="5">
        <v>0</v>
      </c>
      <c r="X519" s="5">
        <v>0</v>
      </c>
      <c r="Y519" s="5">
        <v>401515</v>
      </c>
      <c r="Z519" s="5">
        <f t="shared" si="77"/>
        <v>401515</v>
      </c>
      <c r="AA519" s="20">
        <f t="shared" si="75"/>
        <v>0</v>
      </c>
    </row>
    <row r="520" spans="1:27" ht="12.75">
      <c r="A520" s="3" t="s">
        <v>1584</v>
      </c>
      <c r="B520" s="3" t="s">
        <v>2862</v>
      </c>
      <c r="C520" s="3" t="s">
        <v>2863</v>
      </c>
      <c r="D520" s="3" t="s">
        <v>2899</v>
      </c>
      <c r="E520" s="3" t="s">
        <v>1589</v>
      </c>
      <c r="F520" s="3" t="s">
        <v>2901</v>
      </c>
      <c r="G520" s="3" t="s">
        <v>1591</v>
      </c>
      <c r="H520" s="3" t="s">
        <v>1592</v>
      </c>
      <c r="I520" s="3" t="s">
        <v>2900</v>
      </c>
      <c r="J520" s="4">
        <v>1</v>
      </c>
      <c r="K520" s="4">
        <v>0</v>
      </c>
      <c r="L520" s="4">
        <v>10</v>
      </c>
      <c r="M520" s="4">
        <v>0</v>
      </c>
      <c r="N520" s="5">
        <v>198676</v>
      </c>
      <c r="O520" s="5">
        <v>0</v>
      </c>
      <c r="P520" s="5">
        <v>17180</v>
      </c>
      <c r="Q520" s="5">
        <v>0</v>
      </c>
      <c r="R520" s="5">
        <v>0</v>
      </c>
      <c r="S520" s="5">
        <v>0</v>
      </c>
      <c r="T520" s="5">
        <f t="shared" si="76"/>
        <v>215856</v>
      </c>
      <c r="U520" s="5">
        <v>20923</v>
      </c>
      <c r="V520" s="5">
        <v>0</v>
      </c>
      <c r="W520" s="5">
        <v>0</v>
      </c>
      <c r="X520" s="5">
        <v>0</v>
      </c>
      <c r="Y520" s="5">
        <v>236779</v>
      </c>
      <c r="Z520" s="5">
        <f t="shared" si="77"/>
        <v>236779</v>
      </c>
      <c r="AA520" s="20">
        <f t="shared" si="75"/>
        <v>0</v>
      </c>
    </row>
    <row r="521" spans="1:27" ht="12.75">
      <c r="A521" s="3" t="s">
        <v>2040</v>
      </c>
      <c r="B521" s="3" t="s">
        <v>2862</v>
      </c>
      <c r="C521" s="3" t="s">
        <v>2863</v>
      </c>
      <c r="D521" s="3" t="s">
        <v>2902</v>
      </c>
      <c r="E521" s="3" t="s">
        <v>1589</v>
      </c>
      <c r="F521" s="3" t="s">
        <v>2904</v>
      </c>
      <c r="G521" s="3" t="s">
        <v>1591</v>
      </c>
      <c r="H521" s="3" t="s">
        <v>1592</v>
      </c>
      <c r="I521" s="3" t="s">
        <v>2903</v>
      </c>
      <c r="J521" s="4">
        <v>2</v>
      </c>
      <c r="K521" s="4">
        <v>1</v>
      </c>
      <c r="L521" s="4">
        <v>3</v>
      </c>
      <c r="M521" s="4">
        <v>0</v>
      </c>
      <c r="N521" s="5">
        <v>362508</v>
      </c>
      <c r="O521" s="5">
        <v>0</v>
      </c>
      <c r="P521" s="5">
        <v>4347</v>
      </c>
      <c r="Q521" s="5">
        <v>0</v>
      </c>
      <c r="R521" s="5">
        <v>0</v>
      </c>
      <c r="S521" s="5">
        <v>0</v>
      </c>
      <c r="T521" s="5">
        <f t="shared" si="76"/>
        <v>366855</v>
      </c>
      <c r="U521" s="5">
        <v>72361</v>
      </c>
      <c r="V521" s="5">
        <v>0</v>
      </c>
      <c r="W521" s="5">
        <v>0</v>
      </c>
      <c r="X521" s="5">
        <v>0</v>
      </c>
      <c r="Y521" s="5">
        <v>439216</v>
      </c>
      <c r="Z521" s="5">
        <f t="shared" si="77"/>
        <v>439216</v>
      </c>
      <c r="AA521" s="20">
        <f t="shared" si="75"/>
        <v>0</v>
      </c>
    </row>
    <row r="522" spans="1:27" ht="12.75">
      <c r="A522" s="3" t="s">
        <v>2040</v>
      </c>
      <c r="B522" s="3" t="s">
        <v>2862</v>
      </c>
      <c r="C522" s="3" t="s">
        <v>2863</v>
      </c>
      <c r="D522" s="3" t="s">
        <v>2905</v>
      </c>
      <c r="E522" s="3" t="s">
        <v>1589</v>
      </c>
      <c r="F522" s="3" t="s">
        <v>2907</v>
      </c>
      <c r="G522" s="3" t="s">
        <v>1591</v>
      </c>
      <c r="H522" s="3" t="s">
        <v>1592</v>
      </c>
      <c r="I522" s="3" t="s">
        <v>2155</v>
      </c>
      <c r="J522" s="4">
        <v>0</v>
      </c>
      <c r="K522" s="4">
        <v>0</v>
      </c>
      <c r="L522" s="4">
        <v>5</v>
      </c>
      <c r="M522" s="4">
        <v>0</v>
      </c>
      <c r="N522" s="5">
        <v>147480</v>
      </c>
      <c r="O522" s="5">
        <v>0</v>
      </c>
      <c r="P522" s="5">
        <v>0</v>
      </c>
      <c r="Q522" s="5">
        <v>0</v>
      </c>
      <c r="R522" s="5">
        <v>0</v>
      </c>
      <c r="S522" s="5">
        <v>0</v>
      </c>
      <c r="T522" s="5">
        <f t="shared" si="76"/>
        <v>147480</v>
      </c>
      <c r="U522" s="5">
        <v>3317</v>
      </c>
      <c r="V522" s="5">
        <v>0</v>
      </c>
      <c r="W522" s="5">
        <v>0</v>
      </c>
      <c r="X522" s="5">
        <v>0</v>
      </c>
      <c r="Y522" s="5">
        <v>150797</v>
      </c>
      <c r="Z522" s="5">
        <f t="shared" si="77"/>
        <v>150797</v>
      </c>
      <c r="AA522" s="20">
        <f t="shared" si="75"/>
        <v>0</v>
      </c>
    </row>
    <row r="523" spans="1:27" ht="12.75">
      <c r="A523" s="3" t="s">
        <v>2908</v>
      </c>
      <c r="B523" s="3" t="s">
        <v>2862</v>
      </c>
      <c r="C523" s="3" t="s">
        <v>2863</v>
      </c>
      <c r="D523" s="3" t="s">
        <v>2909</v>
      </c>
      <c r="E523" s="3" t="s">
        <v>1589</v>
      </c>
      <c r="F523" s="3" t="s">
        <v>2911</v>
      </c>
      <c r="G523" s="3" t="s">
        <v>1591</v>
      </c>
      <c r="H523" s="3" t="s">
        <v>1592</v>
      </c>
      <c r="I523" s="3" t="s">
        <v>2910</v>
      </c>
      <c r="J523" s="4">
        <v>1</v>
      </c>
      <c r="K523" s="4">
        <v>0</v>
      </c>
      <c r="L523" s="4">
        <v>2.5</v>
      </c>
      <c r="M523" s="4">
        <v>0</v>
      </c>
      <c r="N523" s="5">
        <v>118872</v>
      </c>
      <c r="O523" s="5">
        <v>0</v>
      </c>
      <c r="P523" s="5">
        <v>0</v>
      </c>
      <c r="Q523" s="5">
        <v>0</v>
      </c>
      <c r="R523" s="5">
        <v>0</v>
      </c>
      <c r="S523" s="5">
        <v>0</v>
      </c>
      <c r="T523" s="5">
        <f t="shared" si="76"/>
        <v>118872</v>
      </c>
      <c r="U523" s="5">
        <v>3</v>
      </c>
      <c r="V523" s="5">
        <v>0</v>
      </c>
      <c r="W523" s="5">
        <v>0</v>
      </c>
      <c r="X523" s="5">
        <v>0</v>
      </c>
      <c r="Y523" s="5">
        <v>118875</v>
      </c>
      <c r="Z523" s="5">
        <f t="shared" si="77"/>
        <v>118875</v>
      </c>
      <c r="AA523" s="20">
        <f t="shared" si="75"/>
        <v>0</v>
      </c>
    </row>
    <row r="524" spans="1:27" ht="12.75">
      <c r="A524" s="3" t="s">
        <v>2912</v>
      </c>
      <c r="B524" s="3" t="s">
        <v>2862</v>
      </c>
      <c r="C524" s="3" t="s">
        <v>2863</v>
      </c>
      <c r="D524" s="3" t="s">
        <v>2913</v>
      </c>
      <c r="E524" s="3" t="s">
        <v>1589</v>
      </c>
      <c r="F524" s="3" t="s">
        <v>2915</v>
      </c>
      <c r="G524" s="3" t="s">
        <v>1591</v>
      </c>
      <c r="H524" s="3" t="s">
        <v>1592</v>
      </c>
      <c r="I524" s="3" t="s">
        <v>2914</v>
      </c>
      <c r="J524" s="4">
        <v>0</v>
      </c>
      <c r="K524" s="4">
        <v>0</v>
      </c>
      <c r="L524" s="4">
        <v>5</v>
      </c>
      <c r="M524" s="4">
        <v>0</v>
      </c>
      <c r="N524" s="5">
        <v>97152</v>
      </c>
      <c r="O524" s="5">
        <v>0</v>
      </c>
      <c r="P524" s="5">
        <v>5917</v>
      </c>
      <c r="Q524" s="5">
        <v>0</v>
      </c>
      <c r="R524" s="5">
        <v>0</v>
      </c>
      <c r="S524" s="5">
        <v>0</v>
      </c>
      <c r="T524" s="5">
        <f t="shared" si="76"/>
        <v>103069</v>
      </c>
      <c r="U524" s="5">
        <f>SUM(S524:S524)</f>
        <v>0</v>
      </c>
      <c r="V524" s="5">
        <v>0</v>
      </c>
      <c r="W524" s="5">
        <v>0</v>
      </c>
      <c r="X524" s="5">
        <v>0</v>
      </c>
      <c r="Y524" s="5">
        <v>103069</v>
      </c>
      <c r="Z524" s="5">
        <f t="shared" si="77"/>
        <v>103069</v>
      </c>
      <c r="AA524" s="20">
        <f t="shared" si="75"/>
        <v>0</v>
      </c>
    </row>
    <row r="525" spans="1:27" ht="12.75">
      <c r="A525" s="3" t="s">
        <v>2916</v>
      </c>
      <c r="B525" s="3" t="s">
        <v>2862</v>
      </c>
      <c r="C525" s="3" t="s">
        <v>2863</v>
      </c>
      <c r="D525" s="3" t="s">
        <v>2917</v>
      </c>
      <c r="E525" s="3" t="s">
        <v>1589</v>
      </c>
      <c r="F525" s="3" t="s">
        <v>2919</v>
      </c>
      <c r="G525" s="3" t="s">
        <v>1591</v>
      </c>
      <c r="H525" s="3" t="s">
        <v>1592</v>
      </c>
      <c r="I525" s="3" t="s">
        <v>2918</v>
      </c>
      <c r="J525" s="4">
        <v>1</v>
      </c>
      <c r="K525" s="4">
        <v>0</v>
      </c>
      <c r="L525" s="4">
        <v>12</v>
      </c>
      <c r="M525" s="4">
        <v>0</v>
      </c>
      <c r="N525" s="5">
        <v>418472</v>
      </c>
      <c r="O525" s="5">
        <v>0</v>
      </c>
      <c r="P525" s="5">
        <v>14411</v>
      </c>
      <c r="Q525" s="5">
        <v>0</v>
      </c>
      <c r="R525" s="5">
        <v>0</v>
      </c>
      <c r="S525" s="5">
        <v>0</v>
      </c>
      <c r="T525" s="5">
        <f t="shared" si="76"/>
        <v>432883</v>
      </c>
      <c r="U525" s="5">
        <v>98468</v>
      </c>
      <c r="V525" s="5">
        <v>0</v>
      </c>
      <c r="W525" s="5">
        <v>0</v>
      </c>
      <c r="X525" s="5">
        <v>0</v>
      </c>
      <c r="Y525" s="5">
        <v>531351</v>
      </c>
      <c r="Z525" s="5">
        <f t="shared" si="77"/>
        <v>531351</v>
      </c>
      <c r="AA525" s="20">
        <f t="shared" si="75"/>
        <v>0</v>
      </c>
    </row>
    <row r="526" spans="1:27" ht="12.75">
      <c r="A526" s="3" t="s">
        <v>2920</v>
      </c>
      <c r="B526" s="3" t="s">
        <v>2862</v>
      </c>
      <c r="C526" s="3" t="s">
        <v>2863</v>
      </c>
      <c r="D526" s="3" t="s">
        <v>2921</v>
      </c>
      <c r="E526" s="3" t="s">
        <v>1589</v>
      </c>
      <c r="F526" s="3" t="s">
        <v>2923</v>
      </c>
      <c r="G526" s="3" t="s">
        <v>1591</v>
      </c>
      <c r="H526" s="3" t="s">
        <v>1592</v>
      </c>
      <c r="I526" s="3" t="s">
        <v>2922</v>
      </c>
      <c r="J526" s="4">
        <v>1</v>
      </c>
      <c r="K526" s="4">
        <v>0</v>
      </c>
      <c r="L526" s="4">
        <v>11</v>
      </c>
      <c r="M526" s="4">
        <v>0</v>
      </c>
      <c r="N526" s="5">
        <v>418944</v>
      </c>
      <c r="O526" s="5">
        <v>2315</v>
      </c>
      <c r="P526" s="5">
        <v>47678</v>
      </c>
      <c r="Q526" s="5">
        <v>0</v>
      </c>
      <c r="R526" s="5">
        <v>0</v>
      </c>
      <c r="S526" s="5">
        <v>0</v>
      </c>
      <c r="T526" s="5">
        <f t="shared" si="76"/>
        <v>468937</v>
      </c>
      <c r="U526" s="5">
        <v>34784</v>
      </c>
      <c r="V526" s="5">
        <v>0</v>
      </c>
      <c r="W526" s="5">
        <v>0</v>
      </c>
      <c r="X526" s="5">
        <v>0</v>
      </c>
      <c r="Y526" s="5">
        <v>503721</v>
      </c>
      <c r="Z526" s="5">
        <f t="shared" si="77"/>
        <v>503721</v>
      </c>
      <c r="AA526" s="20">
        <f t="shared" si="75"/>
        <v>0</v>
      </c>
    </row>
    <row r="527" spans="10:27" ht="12.75">
      <c r="J527" s="4"/>
      <c r="K527" s="4"/>
      <c r="L527" s="4"/>
      <c r="M527" s="4"/>
      <c r="N527" s="5"/>
      <c r="O527" s="5"/>
      <c r="P527" s="5"/>
      <c r="Q527" s="5"/>
      <c r="R527" s="5"/>
      <c r="S527" s="5"/>
      <c r="T527" s="5" t="s">
        <v>2540</v>
      </c>
      <c r="U527" s="5"/>
      <c r="V527" s="5"/>
      <c r="W527" s="5"/>
      <c r="X527" s="5"/>
      <c r="Y527" s="5"/>
      <c r="Z527" s="5" t="s">
        <v>2540</v>
      </c>
      <c r="AA527" s="20" t="s">
        <v>2540</v>
      </c>
    </row>
    <row r="528" spans="9:27" ht="12.75">
      <c r="I528" s="3" t="s">
        <v>186</v>
      </c>
      <c r="J528" s="4"/>
      <c r="K528" s="4"/>
      <c r="L528" s="4"/>
      <c r="M528" s="4"/>
      <c r="N528" s="5"/>
      <c r="O528" s="5"/>
      <c r="P528" s="5"/>
      <c r="Q528" s="5"/>
      <c r="R528" s="5"/>
      <c r="S528" s="5"/>
      <c r="T528" s="5" t="s">
        <v>2540</v>
      </c>
      <c r="U528" s="5"/>
      <c r="V528" s="5"/>
      <c r="W528" s="5"/>
      <c r="X528" s="5"/>
      <c r="Y528" s="5"/>
      <c r="Z528" s="5" t="s">
        <v>2540</v>
      </c>
      <c r="AA528" s="20" t="s">
        <v>2540</v>
      </c>
    </row>
    <row r="529" spans="10:33" ht="12.75">
      <c r="J529" s="16"/>
      <c r="K529" s="16"/>
      <c r="L529" s="16"/>
      <c r="M529" s="16"/>
      <c r="N529" s="12"/>
      <c r="O529" s="12"/>
      <c r="P529" s="12"/>
      <c r="Q529" s="12"/>
      <c r="R529" s="12"/>
      <c r="S529" s="12"/>
      <c r="T529" s="5" t="s">
        <v>2540</v>
      </c>
      <c r="U529" s="12"/>
      <c r="V529" s="12"/>
      <c r="W529" s="12"/>
      <c r="X529" s="12"/>
      <c r="Y529" s="12"/>
      <c r="Z529" s="5" t="s">
        <v>2540</v>
      </c>
      <c r="AA529" s="20" t="s">
        <v>2540</v>
      </c>
      <c r="AB529" s="21"/>
      <c r="AC529" s="21"/>
      <c r="AD529" s="21"/>
      <c r="AE529" s="21"/>
      <c r="AF529" s="21"/>
      <c r="AG529" s="21"/>
    </row>
    <row r="530" spans="1:33" ht="12.75">
      <c r="A530" s="3" t="s">
        <v>2595</v>
      </c>
      <c r="B530" s="3" t="s">
        <v>2862</v>
      </c>
      <c r="C530" s="3" t="s">
        <v>2863</v>
      </c>
      <c r="D530" s="3" t="s">
        <v>2944</v>
      </c>
      <c r="E530" s="3" t="s">
        <v>1589</v>
      </c>
      <c r="F530" s="3" t="s">
        <v>2946</v>
      </c>
      <c r="G530" s="3" t="s">
        <v>1591</v>
      </c>
      <c r="H530" s="3" t="s">
        <v>1592</v>
      </c>
      <c r="I530" s="3" t="s">
        <v>2156</v>
      </c>
      <c r="J530" s="16">
        <v>0</v>
      </c>
      <c r="K530" s="16">
        <v>0</v>
      </c>
      <c r="L530" s="16">
        <v>0</v>
      </c>
      <c r="M530" s="16">
        <v>0</v>
      </c>
      <c r="N530" s="12">
        <v>0</v>
      </c>
      <c r="O530" s="12">
        <v>0</v>
      </c>
      <c r="P530" s="12">
        <v>0</v>
      </c>
      <c r="Q530" s="12">
        <v>0</v>
      </c>
      <c r="R530" s="12">
        <v>0</v>
      </c>
      <c r="S530" s="12">
        <v>0</v>
      </c>
      <c r="T530" s="5">
        <f aca="true" t="shared" si="81" ref="T530:T594">SUM(N530:R530)</f>
        <v>0</v>
      </c>
      <c r="U530" s="12">
        <v>222059</v>
      </c>
      <c r="V530" s="12">
        <v>0</v>
      </c>
      <c r="W530" s="12">
        <v>0</v>
      </c>
      <c r="X530" s="12">
        <v>0</v>
      </c>
      <c r="Y530" s="12">
        <v>222059</v>
      </c>
      <c r="Z530" s="5">
        <f aca="true" t="shared" si="82" ref="Z530:Z594">SUM(T530:X530)</f>
        <v>222059</v>
      </c>
      <c r="AA530" s="20">
        <f aca="true" t="shared" si="83" ref="AA530:AA592">+Y530-Z530</f>
        <v>0</v>
      </c>
      <c r="AB530" s="21"/>
      <c r="AC530" s="21"/>
      <c r="AD530" s="21"/>
      <c r="AE530" s="21"/>
      <c r="AF530" s="21"/>
      <c r="AG530" s="21"/>
    </row>
    <row r="531" spans="1:27" ht="12.75">
      <c r="A531" s="3" t="s">
        <v>2595</v>
      </c>
      <c r="B531" s="3" t="s">
        <v>2862</v>
      </c>
      <c r="C531" s="3" t="s">
        <v>2863</v>
      </c>
      <c r="D531" s="3" t="s">
        <v>2930</v>
      </c>
      <c r="E531" s="3" t="s">
        <v>1589</v>
      </c>
      <c r="F531" s="3" t="s">
        <v>2932</v>
      </c>
      <c r="G531" s="3" t="s">
        <v>1591</v>
      </c>
      <c r="H531" s="3" t="s">
        <v>1592</v>
      </c>
      <c r="I531" s="3" t="s">
        <v>2157</v>
      </c>
      <c r="J531" s="4">
        <v>1</v>
      </c>
      <c r="K531" s="4">
        <v>0</v>
      </c>
      <c r="L531" s="4">
        <v>24</v>
      </c>
      <c r="M531" s="4">
        <v>0</v>
      </c>
      <c r="N531" s="5">
        <v>1051734</v>
      </c>
      <c r="O531" s="5">
        <v>0</v>
      </c>
      <c r="P531" s="5">
        <v>0</v>
      </c>
      <c r="Q531" s="5">
        <v>0</v>
      </c>
      <c r="R531" s="5">
        <v>0</v>
      </c>
      <c r="S531" s="5">
        <v>0</v>
      </c>
      <c r="T531" s="5">
        <f t="shared" si="81"/>
        <v>1051734</v>
      </c>
      <c r="U531" s="5">
        <f>SUM(S531:S531)</f>
        <v>0</v>
      </c>
      <c r="V531" s="5">
        <v>0</v>
      </c>
      <c r="W531" s="5">
        <v>0</v>
      </c>
      <c r="X531" s="5">
        <v>0</v>
      </c>
      <c r="Y531" s="5">
        <v>1051734</v>
      </c>
      <c r="Z531" s="5">
        <f t="shared" si="82"/>
        <v>1051734</v>
      </c>
      <c r="AA531" s="20">
        <f t="shared" si="83"/>
        <v>0</v>
      </c>
    </row>
    <row r="532" spans="1:27" ht="12.75">
      <c r="A532" s="3" t="s">
        <v>2595</v>
      </c>
      <c r="B532" s="3" t="s">
        <v>2862</v>
      </c>
      <c r="C532" s="3" t="s">
        <v>2863</v>
      </c>
      <c r="D532" s="3" t="s">
        <v>2933</v>
      </c>
      <c r="E532" s="3" t="s">
        <v>1589</v>
      </c>
      <c r="F532" s="3" t="s">
        <v>2934</v>
      </c>
      <c r="G532" s="3" t="s">
        <v>1591</v>
      </c>
      <c r="H532" s="3" t="s">
        <v>1592</v>
      </c>
      <c r="I532" s="3" t="s">
        <v>2160</v>
      </c>
      <c r="J532" s="4">
        <v>0</v>
      </c>
      <c r="K532" s="4">
        <v>0</v>
      </c>
      <c r="L532" s="4">
        <v>0</v>
      </c>
      <c r="M532" s="4">
        <v>0</v>
      </c>
      <c r="N532" s="5">
        <v>0</v>
      </c>
      <c r="O532" s="5">
        <v>0</v>
      </c>
      <c r="P532" s="5">
        <v>0</v>
      </c>
      <c r="Q532" s="5">
        <v>0</v>
      </c>
      <c r="R532" s="5">
        <v>0</v>
      </c>
      <c r="S532" s="5">
        <v>0</v>
      </c>
      <c r="T532" s="5">
        <f t="shared" si="81"/>
        <v>0</v>
      </c>
      <c r="U532" s="5">
        <v>105158</v>
      </c>
      <c r="V532" s="5">
        <v>0</v>
      </c>
      <c r="W532" s="5">
        <v>0</v>
      </c>
      <c r="X532" s="5">
        <v>0</v>
      </c>
      <c r="Y532" s="5">
        <v>105158</v>
      </c>
      <c r="Z532" s="5">
        <f t="shared" si="82"/>
        <v>105158</v>
      </c>
      <c r="AA532" s="20">
        <f t="shared" si="83"/>
        <v>0</v>
      </c>
    </row>
    <row r="533" spans="1:27" ht="12.75">
      <c r="A533" s="3" t="s">
        <v>2595</v>
      </c>
      <c r="B533" s="3" t="s">
        <v>2862</v>
      </c>
      <c r="C533" s="3" t="s">
        <v>2863</v>
      </c>
      <c r="D533" s="3" t="s">
        <v>2935</v>
      </c>
      <c r="E533" s="3" t="s">
        <v>1589</v>
      </c>
      <c r="F533" s="3" t="s">
        <v>2936</v>
      </c>
      <c r="G533" s="3" t="s">
        <v>1591</v>
      </c>
      <c r="H533" s="3" t="s">
        <v>1592</v>
      </c>
      <c r="I533" s="3" t="s">
        <v>2158</v>
      </c>
      <c r="J533" s="4">
        <v>0</v>
      </c>
      <c r="K533" s="4">
        <v>0</v>
      </c>
      <c r="L533" s="4">
        <v>0</v>
      </c>
      <c r="M533" s="4">
        <v>0</v>
      </c>
      <c r="N533" s="5">
        <v>0</v>
      </c>
      <c r="O533" s="5">
        <v>0</v>
      </c>
      <c r="P533" s="5">
        <v>0</v>
      </c>
      <c r="Q533" s="5">
        <v>0</v>
      </c>
      <c r="R533" s="5">
        <v>0</v>
      </c>
      <c r="S533" s="5">
        <v>0</v>
      </c>
      <c r="T533" s="5">
        <f t="shared" si="81"/>
        <v>0</v>
      </c>
      <c r="U533" s="5">
        <v>244756</v>
      </c>
      <c r="V533" s="5">
        <v>0</v>
      </c>
      <c r="W533" s="5">
        <v>0</v>
      </c>
      <c r="X533" s="5">
        <v>0</v>
      </c>
      <c r="Y533" s="5">
        <v>244756</v>
      </c>
      <c r="Z533" s="5">
        <f t="shared" si="82"/>
        <v>244756</v>
      </c>
      <c r="AA533" s="20">
        <f t="shared" si="83"/>
        <v>0</v>
      </c>
    </row>
    <row r="534" spans="1:27" ht="12.75">
      <c r="A534" s="3" t="s">
        <v>2595</v>
      </c>
      <c r="B534" s="3" t="s">
        <v>2862</v>
      </c>
      <c r="C534" s="3" t="s">
        <v>2863</v>
      </c>
      <c r="D534" s="3" t="s">
        <v>2937</v>
      </c>
      <c r="E534" s="3" t="s">
        <v>1589</v>
      </c>
      <c r="F534" s="3" t="s">
        <v>2938</v>
      </c>
      <c r="G534" s="3" t="s">
        <v>1591</v>
      </c>
      <c r="H534" s="3" t="s">
        <v>1592</v>
      </c>
      <c r="I534" s="3" t="s">
        <v>2159</v>
      </c>
      <c r="J534" s="4">
        <v>0</v>
      </c>
      <c r="K534" s="4">
        <v>0</v>
      </c>
      <c r="L534" s="4">
        <v>0</v>
      </c>
      <c r="M534" s="4">
        <v>0</v>
      </c>
      <c r="N534" s="5">
        <v>0</v>
      </c>
      <c r="O534" s="5">
        <v>0</v>
      </c>
      <c r="P534" s="5">
        <v>0</v>
      </c>
      <c r="Q534" s="5">
        <v>0</v>
      </c>
      <c r="R534" s="5">
        <v>0</v>
      </c>
      <c r="S534" s="5">
        <v>0</v>
      </c>
      <c r="T534" s="5">
        <f t="shared" si="81"/>
        <v>0</v>
      </c>
      <c r="U534" s="5">
        <v>1737</v>
      </c>
      <c r="V534" s="5">
        <v>0</v>
      </c>
      <c r="W534" s="5">
        <v>0</v>
      </c>
      <c r="X534" s="5">
        <v>0</v>
      </c>
      <c r="Y534" s="5">
        <v>1737</v>
      </c>
      <c r="Z534" s="5">
        <f t="shared" si="82"/>
        <v>1737</v>
      </c>
      <c r="AA534" s="20">
        <f t="shared" si="83"/>
        <v>0</v>
      </c>
    </row>
    <row r="535" spans="1:27" ht="13.5" thickBot="1">
      <c r="A535" s="3" t="s">
        <v>2595</v>
      </c>
      <c r="B535" s="3" t="s">
        <v>2862</v>
      </c>
      <c r="C535" s="3" t="s">
        <v>2863</v>
      </c>
      <c r="D535" s="3" t="s">
        <v>2939</v>
      </c>
      <c r="E535" s="3" t="s">
        <v>1589</v>
      </c>
      <c r="F535" s="3" t="s">
        <v>2940</v>
      </c>
      <c r="G535" s="3" t="s">
        <v>1591</v>
      </c>
      <c r="H535" s="3" t="s">
        <v>1592</v>
      </c>
      <c r="I535" s="3" t="s">
        <v>2868</v>
      </c>
      <c r="J535" s="6">
        <v>0</v>
      </c>
      <c r="K535" s="6">
        <v>0</v>
      </c>
      <c r="L535" s="6">
        <v>0</v>
      </c>
      <c r="M535" s="6">
        <v>0</v>
      </c>
      <c r="N535" s="7">
        <v>0</v>
      </c>
      <c r="O535" s="7">
        <v>0</v>
      </c>
      <c r="P535" s="7">
        <v>0</v>
      </c>
      <c r="Q535" s="7">
        <v>0</v>
      </c>
      <c r="R535" s="7">
        <v>0</v>
      </c>
      <c r="S535" s="7">
        <v>0</v>
      </c>
      <c r="T535" s="7">
        <f t="shared" si="81"/>
        <v>0</v>
      </c>
      <c r="U535" s="7">
        <v>8578</v>
      </c>
      <c r="V535" s="7">
        <v>0</v>
      </c>
      <c r="W535" s="7">
        <v>0</v>
      </c>
      <c r="X535" s="7">
        <v>0</v>
      </c>
      <c r="Y535" s="7">
        <v>8578</v>
      </c>
      <c r="Z535" s="7">
        <f t="shared" si="82"/>
        <v>8578</v>
      </c>
      <c r="AA535" s="20">
        <f t="shared" si="83"/>
        <v>0</v>
      </c>
    </row>
    <row r="536" spans="9:27" ht="12.75">
      <c r="I536" s="3" t="s">
        <v>187</v>
      </c>
      <c r="J536" s="4">
        <f aca="true" t="shared" si="84" ref="J536:Z536">SUM(J530:J535)</f>
        <v>1</v>
      </c>
      <c r="K536" s="4">
        <f t="shared" si="84"/>
        <v>0</v>
      </c>
      <c r="L536" s="4">
        <f t="shared" si="84"/>
        <v>24</v>
      </c>
      <c r="M536" s="4">
        <f t="shared" si="84"/>
        <v>0</v>
      </c>
      <c r="N536" s="5">
        <f t="shared" si="84"/>
        <v>1051734</v>
      </c>
      <c r="O536" s="5">
        <f t="shared" si="84"/>
        <v>0</v>
      </c>
      <c r="P536" s="5">
        <f t="shared" si="84"/>
        <v>0</v>
      </c>
      <c r="Q536" s="5">
        <f t="shared" si="84"/>
        <v>0</v>
      </c>
      <c r="R536" s="5">
        <f t="shared" si="84"/>
        <v>0</v>
      </c>
      <c r="S536" s="5">
        <f t="shared" si="84"/>
        <v>0</v>
      </c>
      <c r="T536" s="5">
        <f t="shared" si="84"/>
        <v>1051734</v>
      </c>
      <c r="U536" s="5">
        <f t="shared" si="84"/>
        <v>582288</v>
      </c>
      <c r="V536" s="5">
        <f t="shared" si="84"/>
        <v>0</v>
      </c>
      <c r="W536" s="5">
        <f t="shared" si="84"/>
        <v>0</v>
      </c>
      <c r="X536" s="5">
        <f t="shared" si="84"/>
        <v>0</v>
      </c>
      <c r="Y536" s="5">
        <f t="shared" si="84"/>
        <v>1634022</v>
      </c>
      <c r="Z536" s="5">
        <f t="shared" si="84"/>
        <v>1634022</v>
      </c>
      <c r="AA536" s="20">
        <f t="shared" si="83"/>
        <v>0</v>
      </c>
    </row>
    <row r="537" spans="10:27" ht="12.75">
      <c r="J537" s="4"/>
      <c r="K537" s="4"/>
      <c r="L537" s="4"/>
      <c r="M537" s="4"/>
      <c r="N537" s="5"/>
      <c r="O537" s="5"/>
      <c r="P537" s="5"/>
      <c r="Q537" s="5"/>
      <c r="R537" s="5"/>
      <c r="S537" s="5"/>
      <c r="T537" s="5" t="s">
        <v>2540</v>
      </c>
      <c r="U537" s="5"/>
      <c r="V537" s="5"/>
      <c r="W537" s="5"/>
      <c r="X537" s="5"/>
      <c r="Y537" s="5"/>
      <c r="Z537" s="5" t="s">
        <v>2540</v>
      </c>
      <c r="AA537" s="20" t="s">
        <v>2540</v>
      </c>
    </row>
    <row r="538" spans="1:27" ht="12.75">
      <c r="A538" s="3" t="s">
        <v>1842</v>
      </c>
      <c r="B538" s="3" t="s">
        <v>2862</v>
      </c>
      <c r="C538" s="3" t="s">
        <v>2863</v>
      </c>
      <c r="D538" s="3" t="s">
        <v>2941</v>
      </c>
      <c r="E538" s="3" t="s">
        <v>1589</v>
      </c>
      <c r="F538" s="3" t="s">
        <v>2943</v>
      </c>
      <c r="G538" s="3" t="s">
        <v>1591</v>
      </c>
      <c r="H538" s="3" t="s">
        <v>1592</v>
      </c>
      <c r="I538" s="3" t="s">
        <v>2942</v>
      </c>
      <c r="J538" s="4">
        <v>1</v>
      </c>
      <c r="K538" s="4">
        <v>0</v>
      </c>
      <c r="L538" s="4">
        <v>6</v>
      </c>
      <c r="M538" s="4">
        <v>0</v>
      </c>
      <c r="N538" s="5">
        <v>219792</v>
      </c>
      <c r="O538" s="5">
        <v>0</v>
      </c>
      <c r="P538" s="5">
        <v>0</v>
      </c>
      <c r="Q538" s="5">
        <v>0</v>
      </c>
      <c r="R538" s="5">
        <v>0</v>
      </c>
      <c r="S538" s="5">
        <v>0</v>
      </c>
      <c r="T538" s="5">
        <f t="shared" si="81"/>
        <v>219792</v>
      </c>
      <c r="U538" s="5">
        <v>8265</v>
      </c>
      <c r="V538" s="5">
        <v>0</v>
      </c>
      <c r="W538" s="5">
        <v>0</v>
      </c>
      <c r="X538" s="5">
        <v>0</v>
      </c>
      <c r="Y538" s="5">
        <v>228057</v>
      </c>
      <c r="Z538" s="5">
        <f t="shared" si="82"/>
        <v>228057</v>
      </c>
      <c r="AA538" s="20">
        <f t="shared" si="83"/>
        <v>0</v>
      </c>
    </row>
    <row r="539" spans="1:27" ht="12.75">
      <c r="A539" s="3" t="s">
        <v>1968</v>
      </c>
      <c r="B539" s="3" t="s">
        <v>2862</v>
      </c>
      <c r="C539" s="3" t="s">
        <v>2863</v>
      </c>
      <c r="D539" s="3" t="s">
        <v>2947</v>
      </c>
      <c r="E539" s="3" t="s">
        <v>1589</v>
      </c>
      <c r="F539" s="3" t="s">
        <v>2949</v>
      </c>
      <c r="G539" s="3" t="s">
        <v>1591</v>
      </c>
      <c r="H539" s="3" t="s">
        <v>1592</v>
      </c>
      <c r="I539" s="3" t="s">
        <v>2948</v>
      </c>
      <c r="J539" s="4">
        <v>0</v>
      </c>
      <c r="K539" s="4">
        <v>0</v>
      </c>
      <c r="L539" s="4">
        <v>1</v>
      </c>
      <c r="M539" s="4">
        <v>0</v>
      </c>
      <c r="N539" s="5">
        <v>30372</v>
      </c>
      <c r="O539" s="5">
        <v>0</v>
      </c>
      <c r="P539" s="5">
        <v>0</v>
      </c>
      <c r="Q539" s="5">
        <v>0</v>
      </c>
      <c r="R539" s="5">
        <v>0</v>
      </c>
      <c r="S539" s="5">
        <v>0</v>
      </c>
      <c r="T539" s="5">
        <f t="shared" si="81"/>
        <v>30372</v>
      </c>
      <c r="U539" s="5">
        <v>4980</v>
      </c>
      <c r="V539" s="5">
        <v>0</v>
      </c>
      <c r="W539" s="5">
        <v>0</v>
      </c>
      <c r="X539" s="5">
        <v>3400</v>
      </c>
      <c r="Y539" s="5">
        <v>38752</v>
      </c>
      <c r="Z539" s="5">
        <f t="shared" si="82"/>
        <v>38752</v>
      </c>
      <c r="AA539" s="20">
        <f t="shared" si="83"/>
        <v>0</v>
      </c>
    </row>
    <row r="540" spans="1:27" ht="12.75">
      <c r="A540" s="3" t="s">
        <v>1842</v>
      </c>
      <c r="B540" s="3" t="s">
        <v>2862</v>
      </c>
      <c r="C540" s="3" t="s">
        <v>2863</v>
      </c>
      <c r="D540" s="3" t="s">
        <v>2950</v>
      </c>
      <c r="E540" s="3" t="s">
        <v>1589</v>
      </c>
      <c r="F540" s="3" t="s">
        <v>2952</v>
      </c>
      <c r="G540" s="3" t="s">
        <v>1591</v>
      </c>
      <c r="H540" s="3" t="s">
        <v>1592</v>
      </c>
      <c r="I540" s="3" t="s">
        <v>2951</v>
      </c>
      <c r="J540" s="4">
        <v>4.12</v>
      </c>
      <c r="K540" s="4">
        <v>2.4539999999999997</v>
      </c>
      <c r="L540" s="4">
        <v>5</v>
      </c>
      <c r="M540" s="4">
        <v>3</v>
      </c>
      <c r="N540" s="5">
        <v>771572</v>
      </c>
      <c r="O540" s="5">
        <v>0</v>
      </c>
      <c r="P540" s="5">
        <v>35000</v>
      </c>
      <c r="Q540" s="5">
        <v>0</v>
      </c>
      <c r="R540" s="5">
        <v>0</v>
      </c>
      <c r="S540" s="5">
        <v>0</v>
      </c>
      <c r="T540" s="5">
        <f t="shared" si="81"/>
        <v>806572</v>
      </c>
      <c r="U540" s="5">
        <v>103442</v>
      </c>
      <c r="V540" s="5">
        <v>0</v>
      </c>
      <c r="W540" s="5">
        <v>0</v>
      </c>
      <c r="X540" s="5">
        <v>25000</v>
      </c>
      <c r="Y540" s="5">
        <v>935014</v>
      </c>
      <c r="Z540" s="5">
        <f t="shared" si="82"/>
        <v>935014</v>
      </c>
      <c r="AA540" s="20">
        <f t="shared" si="83"/>
        <v>0</v>
      </c>
    </row>
    <row r="541" spans="1:27" ht="12.75">
      <c r="A541" s="3" t="s">
        <v>1842</v>
      </c>
      <c r="B541" s="3" t="s">
        <v>2862</v>
      </c>
      <c r="C541" s="3" t="s">
        <v>2863</v>
      </c>
      <c r="D541" s="3" t="s">
        <v>2953</v>
      </c>
      <c r="E541" s="3" t="s">
        <v>1589</v>
      </c>
      <c r="F541" s="3" t="s">
        <v>2955</v>
      </c>
      <c r="G541" s="3" t="s">
        <v>1591</v>
      </c>
      <c r="H541" s="3" t="s">
        <v>1592</v>
      </c>
      <c r="I541" s="3" t="s">
        <v>2954</v>
      </c>
      <c r="J541" s="4">
        <v>0</v>
      </c>
      <c r="K541" s="4">
        <v>0</v>
      </c>
      <c r="L541" s="4">
        <v>0</v>
      </c>
      <c r="M541" s="4">
        <v>0</v>
      </c>
      <c r="N541" s="5">
        <v>0</v>
      </c>
      <c r="O541" s="5">
        <v>0</v>
      </c>
      <c r="P541" s="5">
        <v>0</v>
      </c>
      <c r="Q541" s="5">
        <v>0</v>
      </c>
      <c r="R541" s="5">
        <v>0</v>
      </c>
      <c r="S541" s="5">
        <v>0</v>
      </c>
      <c r="T541" s="5">
        <f t="shared" si="81"/>
        <v>0</v>
      </c>
      <c r="U541" s="5">
        <v>5000</v>
      </c>
      <c r="V541" s="5">
        <v>0</v>
      </c>
      <c r="W541" s="5">
        <v>0</v>
      </c>
      <c r="X541" s="5">
        <v>0</v>
      </c>
      <c r="Y541" s="5">
        <v>5000</v>
      </c>
      <c r="Z541" s="5">
        <f t="shared" si="82"/>
        <v>5000</v>
      </c>
      <c r="AA541" s="20">
        <f t="shared" si="83"/>
        <v>0</v>
      </c>
    </row>
    <row r="542" spans="1:27" ht="12.75">
      <c r="A542" s="3" t="s">
        <v>1680</v>
      </c>
      <c r="B542" s="3" t="s">
        <v>2862</v>
      </c>
      <c r="C542" s="3" t="s">
        <v>2863</v>
      </c>
      <c r="D542" s="3" t="s">
        <v>2956</v>
      </c>
      <c r="E542" s="3" t="s">
        <v>1589</v>
      </c>
      <c r="F542" s="3" t="s">
        <v>2958</v>
      </c>
      <c r="G542" s="3" t="s">
        <v>1591</v>
      </c>
      <c r="H542" s="3" t="s">
        <v>1592</v>
      </c>
      <c r="I542" s="3" t="s">
        <v>2957</v>
      </c>
      <c r="J542" s="4">
        <v>0</v>
      </c>
      <c r="K542" s="4">
        <v>0</v>
      </c>
      <c r="L542" s="4">
        <v>5</v>
      </c>
      <c r="M542" s="4">
        <v>0</v>
      </c>
      <c r="N542" s="5">
        <v>90768</v>
      </c>
      <c r="O542" s="5">
        <v>0</v>
      </c>
      <c r="P542" s="5">
        <v>2105</v>
      </c>
      <c r="Q542" s="5">
        <v>0</v>
      </c>
      <c r="R542" s="5">
        <v>0</v>
      </c>
      <c r="S542" s="5">
        <v>0</v>
      </c>
      <c r="T542" s="5">
        <f t="shared" si="81"/>
        <v>92873</v>
      </c>
      <c r="U542" s="5">
        <v>10663</v>
      </c>
      <c r="V542" s="5">
        <v>0</v>
      </c>
      <c r="W542" s="5">
        <v>0</v>
      </c>
      <c r="X542" s="5">
        <v>0</v>
      </c>
      <c r="Y542" s="5">
        <v>103536</v>
      </c>
      <c r="Z542" s="5">
        <f t="shared" si="82"/>
        <v>103536</v>
      </c>
      <c r="AA542" s="20">
        <f t="shared" si="83"/>
        <v>0</v>
      </c>
    </row>
    <row r="543" spans="1:27" ht="12.75">
      <c r="A543" s="3" t="s">
        <v>2959</v>
      </c>
      <c r="B543" s="3" t="s">
        <v>2862</v>
      </c>
      <c r="C543" s="3" t="s">
        <v>2863</v>
      </c>
      <c r="D543" s="3" t="s">
        <v>2960</v>
      </c>
      <c r="E543" s="3" t="s">
        <v>1589</v>
      </c>
      <c r="F543" s="3" t="s">
        <v>2962</v>
      </c>
      <c r="G543" s="3" t="s">
        <v>1591</v>
      </c>
      <c r="H543" s="3" t="s">
        <v>1592</v>
      </c>
      <c r="I543" s="3" t="s">
        <v>2961</v>
      </c>
      <c r="J543" s="4">
        <v>0</v>
      </c>
      <c r="K543" s="4">
        <v>0</v>
      </c>
      <c r="L543" s="4">
        <v>7</v>
      </c>
      <c r="M543" s="4">
        <v>0</v>
      </c>
      <c r="N543" s="5">
        <v>209508</v>
      </c>
      <c r="O543" s="5">
        <v>0</v>
      </c>
      <c r="P543" s="5">
        <v>65550</v>
      </c>
      <c r="Q543" s="5">
        <v>0</v>
      </c>
      <c r="R543" s="5">
        <v>0</v>
      </c>
      <c r="S543" s="5">
        <v>0</v>
      </c>
      <c r="T543" s="5">
        <f t="shared" si="81"/>
        <v>275058</v>
      </c>
      <c r="U543" s="5">
        <v>37330</v>
      </c>
      <c r="V543" s="5">
        <v>0</v>
      </c>
      <c r="W543" s="5">
        <v>0</v>
      </c>
      <c r="X543" s="5">
        <v>0</v>
      </c>
      <c r="Y543" s="5">
        <v>312388</v>
      </c>
      <c r="Z543" s="5">
        <f t="shared" si="82"/>
        <v>312388</v>
      </c>
      <c r="AA543" s="20">
        <f t="shared" si="83"/>
        <v>0</v>
      </c>
    </row>
    <row r="544" spans="1:27" ht="12.75">
      <c r="A544" s="3" t="s">
        <v>2963</v>
      </c>
      <c r="B544" s="3" t="s">
        <v>2862</v>
      </c>
      <c r="C544" s="3" t="s">
        <v>2863</v>
      </c>
      <c r="D544" s="3" t="s">
        <v>2964</v>
      </c>
      <c r="E544" s="3" t="s">
        <v>1589</v>
      </c>
      <c r="F544" s="3" t="s">
        <v>2966</v>
      </c>
      <c r="G544" s="3" t="s">
        <v>1591</v>
      </c>
      <c r="H544" s="3" t="s">
        <v>1592</v>
      </c>
      <c r="I544" s="3" t="s">
        <v>2965</v>
      </c>
      <c r="J544" s="4">
        <v>1</v>
      </c>
      <c r="K544" s="4">
        <v>0</v>
      </c>
      <c r="L544" s="4">
        <v>15.834</v>
      </c>
      <c r="M544" s="4">
        <v>0</v>
      </c>
      <c r="N544" s="5">
        <v>449340</v>
      </c>
      <c r="O544" s="5">
        <v>23142</v>
      </c>
      <c r="P544" s="5">
        <v>17347</v>
      </c>
      <c r="Q544" s="5">
        <v>0</v>
      </c>
      <c r="R544" s="5">
        <v>0</v>
      </c>
      <c r="S544" s="5">
        <v>0</v>
      </c>
      <c r="T544" s="5">
        <f t="shared" si="81"/>
        <v>489829</v>
      </c>
      <c r="U544" s="5">
        <v>68040</v>
      </c>
      <c r="V544" s="5">
        <v>0</v>
      </c>
      <c r="W544" s="5">
        <v>0</v>
      </c>
      <c r="X544" s="5">
        <v>2837</v>
      </c>
      <c r="Y544" s="5">
        <v>560706</v>
      </c>
      <c r="Z544" s="5">
        <f t="shared" si="82"/>
        <v>560706</v>
      </c>
      <c r="AA544" s="20">
        <f t="shared" si="83"/>
        <v>0</v>
      </c>
    </row>
    <row r="545" spans="1:27" ht="12.75">
      <c r="A545" s="3" t="s">
        <v>2963</v>
      </c>
      <c r="B545" s="3" t="s">
        <v>2862</v>
      </c>
      <c r="C545" s="3" t="s">
        <v>2863</v>
      </c>
      <c r="D545" s="3" t="s">
        <v>2967</v>
      </c>
      <c r="E545" s="3" t="s">
        <v>1589</v>
      </c>
      <c r="F545" s="3" t="s">
        <v>2969</v>
      </c>
      <c r="G545" s="3" t="s">
        <v>1591</v>
      </c>
      <c r="H545" s="3" t="s">
        <v>1592</v>
      </c>
      <c r="I545" s="3" t="s">
        <v>2968</v>
      </c>
      <c r="J545" s="4">
        <v>0</v>
      </c>
      <c r="K545" s="4">
        <v>0</v>
      </c>
      <c r="L545" s="4">
        <v>5.166</v>
      </c>
      <c r="M545" s="4">
        <v>0</v>
      </c>
      <c r="N545" s="5">
        <v>115044</v>
      </c>
      <c r="O545" s="5">
        <v>7407</v>
      </c>
      <c r="P545" s="5">
        <v>0</v>
      </c>
      <c r="Q545" s="5">
        <v>0</v>
      </c>
      <c r="R545" s="5">
        <v>0</v>
      </c>
      <c r="S545" s="5">
        <v>0</v>
      </c>
      <c r="T545" s="5">
        <f t="shared" si="81"/>
        <v>122451</v>
      </c>
      <c r="U545" s="5">
        <f>SUM(S545:S545)</f>
        <v>0</v>
      </c>
      <c r="V545" s="5">
        <v>0</v>
      </c>
      <c r="W545" s="5">
        <v>0</v>
      </c>
      <c r="X545" s="5">
        <v>0</v>
      </c>
      <c r="Y545" s="5">
        <v>122451</v>
      </c>
      <c r="Z545" s="5">
        <f t="shared" si="82"/>
        <v>122451</v>
      </c>
      <c r="AA545" s="20">
        <f t="shared" si="83"/>
        <v>0</v>
      </c>
    </row>
    <row r="546" spans="1:27" ht="12.75">
      <c r="A546" s="3" t="s">
        <v>2908</v>
      </c>
      <c r="B546" s="3" t="s">
        <v>2862</v>
      </c>
      <c r="C546" s="3" t="s">
        <v>2863</v>
      </c>
      <c r="D546" s="3" t="s">
        <v>2970</v>
      </c>
      <c r="E546" s="3" t="s">
        <v>1589</v>
      </c>
      <c r="F546" s="3" t="s">
        <v>2972</v>
      </c>
      <c r="G546" s="3" t="s">
        <v>1591</v>
      </c>
      <c r="H546" s="3" t="s">
        <v>1592</v>
      </c>
      <c r="I546" s="3" t="s">
        <v>2971</v>
      </c>
      <c r="J546" s="4">
        <v>0.88</v>
      </c>
      <c r="K546" s="4">
        <v>0</v>
      </c>
      <c r="L546" s="4">
        <v>0</v>
      </c>
      <c r="M546" s="4">
        <v>0</v>
      </c>
      <c r="N546" s="5">
        <v>38904</v>
      </c>
      <c r="O546" s="5">
        <v>0</v>
      </c>
      <c r="P546" s="5">
        <v>0</v>
      </c>
      <c r="Q546" s="5">
        <v>0</v>
      </c>
      <c r="R546" s="5">
        <v>0</v>
      </c>
      <c r="S546" s="5">
        <v>0</v>
      </c>
      <c r="T546" s="5">
        <f t="shared" si="81"/>
        <v>38904</v>
      </c>
      <c r="U546" s="5">
        <v>9215</v>
      </c>
      <c r="V546" s="5">
        <v>0</v>
      </c>
      <c r="W546" s="5">
        <v>0</v>
      </c>
      <c r="X546" s="5">
        <v>7020</v>
      </c>
      <c r="Y546" s="5">
        <v>55139</v>
      </c>
      <c r="Z546" s="5">
        <f t="shared" si="82"/>
        <v>55139</v>
      </c>
      <c r="AA546" s="20">
        <f t="shared" si="83"/>
        <v>0</v>
      </c>
    </row>
    <row r="547" spans="1:27" ht="12.75">
      <c r="A547" s="3" t="s">
        <v>1842</v>
      </c>
      <c r="B547" s="3" t="s">
        <v>2862</v>
      </c>
      <c r="C547" s="3" t="s">
        <v>2863</v>
      </c>
      <c r="D547" s="3" t="s">
        <v>2973</v>
      </c>
      <c r="E547" s="3" t="s">
        <v>1589</v>
      </c>
      <c r="F547" s="3" t="s">
        <v>2975</v>
      </c>
      <c r="G547" s="3" t="s">
        <v>1591</v>
      </c>
      <c r="H547" s="3" t="s">
        <v>1592</v>
      </c>
      <c r="I547" s="3" t="s">
        <v>2974</v>
      </c>
      <c r="J547" s="4">
        <v>0</v>
      </c>
      <c r="K547" s="4">
        <v>0</v>
      </c>
      <c r="L547" s="4">
        <v>0</v>
      </c>
      <c r="M547" s="4">
        <v>0</v>
      </c>
      <c r="N547" s="5">
        <v>0</v>
      </c>
      <c r="O547" s="5">
        <v>0</v>
      </c>
      <c r="P547" s="5">
        <v>13632</v>
      </c>
      <c r="Q547" s="5">
        <v>0</v>
      </c>
      <c r="R547" s="5">
        <v>0</v>
      </c>
      <c r="S547" s="5">
        <v>0</v>
      </c>
      <c r="T547" s="5">
        <f t="shared" si="81"/>
        <v>13632</v>
      </c>
      <c r="U547" s="5">
        <v>3031</v>
      </c>
      <c r="V547" s="5">
        <v>0</v>
      </c>
      <c r="W547" s="5">
        <v>0</v>
      </c>
      <c r="X547" s="5">
        <v>0</v>
      </c>
      <c r="Y547" s="5">
        <v>16663</v>
      </c>
      <c r="Z547" s="5">
        <f t="shared" si="82"/>
        <v>16663</v>
      </c>
      <c r="AA547" s="20">
        <f t="shared" si="83"/>
        <v>0</v>
      </c>
    </row>
    <row r="548" spans="1:27" ht="12.75">
      <c r="A548" s="3" t="s">
        <v>2874</v>
      </c>
      <c r="B548" s="3" t="s">
        <v>2862</v>
      </c>
      <c r="C548" s="3" t="s">
        <v>2863</v>
      </c>
      <c r="D548" s="3" t="s">
        <v>2976</v>
      </c>
      <c r="E548" s="3" t="s">
        <v>1589</v>
      </c>
      <c r="F548" s="3" t="s">
        <v>2978</v>
      </c>
      <c r="G548" s="3" t="s">
        <v>1591</v>
      </c>
      <c r="H548" s="3" t="s">
        <v>1592</v>
      </c>
      <c r="I548" s="3" t="s">
        <v>2977</v>
      </c>
      <c r="J548" s="4">
        <v>0</v>
      </c>
      <c r="K548" s="4">
        <v>0</v>
      </c>
      <c r="L548" s="4">
        <v>0</v>
      </c>
      <c r="M548" s="4">
        <v>0</v>
      </c>
      <c r="N548" s="5">
        <v>0</v>
      </c>
      <c r="O548" s="5">
        <v>0</v>
      </c>
      <c r="P548" s="5">
        <v>10625</v>
      </c>
      <c r="Q548" s="5">
        <v>0</v>
      </c>
      <c r="R548" s="5">
        <v>0</v>
      </c>
      <c r="S548" s="5">
        <v>0</v>
      </c>
      <c r="T548" s="5">
        <f t="shared" si="81"/>
        <v>10625</v>
      </c>
      <c r="U548" s="5">
        <v>3704</v>
      </c>
      <c r="V548" s="5">
        <v>0</v>
      </c>
      <c r="W548" s="5">
        <v>0</v>
      </c>
      <c r="X548" s="5">
        <v>0</v>
      </c>
      <c r="Y548" s="5">
        <v>14329</v>
      </c>
      <c r="Z548" s="5">
        <f t="shared" si="82"/>
        <v>14329</v>
      </c>
      <c r="AA548" s="20">
        <f t="shared" si="83"/>
        <v>0</v>
      </c>
    </row>
    <row r="549" spans="1:27" ht="12.75">
      <c r="A549" s="3" t="s">
        <v>2874</v>
      </c>
      <c r="B549" s="3" t="s">
        <v>2862</v>
      </c>
      <c r="C549" s="3" t="s">
        <v>2863</v>
      </c>
      <c r="D549" s="3" t="s">
        <v>2979</v>
      </c>
      <c r="E549" s="3" t="s">
        <v>1589</v>
      </c>
      <c r="F549" s="3" t="s">
        <v>2981</v>
      </c>
      <c r="G549" s="3" t="s">
        <v>1591</v>
      </c>
      <c r="H549" s="3" t="s">
        <v>1592</v>
      </c>
      <c r="I549" s="3" t="s">
        <v>2980</v>
      </c>
      <c r="J549" s="4">
        <v>0</v>
      </c>
      <c r="K549" s="4">
        <v>0</v>
      </c>
      <c r="L549" s="4">
        <v>0</v>
      </c>
      <c r="M549" s="4">
        <v>0</v>
      </c>
      <c r="N549" s="5">
        <v>0</v>
      </c>
      <c r="O549" s="5">
        <v>0</v>
      </c>
      <c r="P549" s="5">
        <v>13400</v>
      </c>
      <c r="Q549" s="5">
        <v>0</v>
      </c>
      <c r="R549" s="5">
        <v>0</v>
      </c>
      <c r="S549" s="5">
        <v>0</v>
      </c>
      <c r="T549" s="5">
        <f t="shared" si="81"/>
        <v>13400</v>
      </c>
      <c r="U549" s="5">
        <v>6600</v>
      </c>
      <c r="V549" s="5">
        <v>0</v>
      </c>
      <c r="W549" s="5">
        <v>0</v>
      </c>
      <c r="X549" s="5">
        <v>0</v>
      </c>
      <c r="Y549" s="5">
        <v>20000</v>
      </c>
      <c r="Z549" s="5">
        <f t="shared" si="82"/>
        <v>20000</v>
      </c>
      <c r="AA549" s="20">
        <f t="shared" si="83"/>
        <v>0</v>
      </c>
    </row>
    <row r="550" spans="1:27" ht="12.75">
      <c r="A550" s="3" t="s">
        <v>2885</v>
      </c>
      <c r="B550" s="3" t="s">
        <v>2862</v>
      </c>
      <c r="C550" s="3" t="s">
        <v>2863</v>
      </c>
      <c r="D550" s="3" t="s">
        <v>2982</v>
      </c>
      <c r="E550" s="3" t="s">
        <v>1589</v>
      </c>
      <c r="F550" s="3" t="s">
        <v>2984</v>
      </c>
      <c r="G550" s="3" t="s">
        <v>1591</v>
      </c>
      <c r="H550" s="3" t="s">
        <v>1592</v>
      </c>
      <c r="I550" s="3" t="s">
        <v>2983</v>
      </c>
      <c r="J550" s="4">
        <v>0</v>
      </c>
      <c r="K550" s="4">
        <v>0</v>
      </c>
      <c r="L550" s="4">
        <v>0</v>
      </c>
      <c r="M550" s="4">
        <v>0</v>
      </c>
      <c r="N550" s="5">
        <v>0</v>
      </c>
      <c r="O550" s="5">
        <v>0</v>
      </c>
      <c r="P550" s="5">
        <v>0</v>
      </c>
      <c r="Q550" s="5">
        <v>0</v>
      </c>
      <c r="R550" s="5">
        <v>0</v>
      </c>
      <c r="S550" s="5">
        <v>0</v>
      </c>
      <c r="T550" s="5">
        <f t="shared" si="81"/>
        <v>0</v>
      </c>
      <c r="U550" s="5">
        <v>12910</v>
      </c>
      <c r="V550" s="5">
        <v>0</v>
      </c>
      <c r="W550" s="5">
        <v>0</v>
      </c>
      <c r="X550" s="5">
        <v>0</v>
      </c>
      <c r="Y550" s="5">
        <v>12910</v>
      </c>
      <c r="Z550" s="5">
        <f t="shared" si="82"/>
        <v>12910</v>
      </c>
      <c r="AA550" s="20">
        <f t="shared" si="83"/>
        <v>0</v>
      </c>
    </row>
    <row r="551" spans="1:27" ht="12.75">
      <c r="A551" s="3" t="s">
        <v>2874</v>
      </c>
      <c r="B551" s="3" t="s">
        <v>2862</v>
      </c>
      <c r="C551" s="3" t="s">
        <v>2863</v>
      </c>
      <c r="D551" s="3" t="s">
        <v>2985</v>
      </c>
      <c r="E551" s="3" t="s">
        <v>1589</v>
      </c>
      <c r="F551" s="3" t="s">
        <v>2987</v>
      </c>
      <c r="G551" s="3" t="s">
        <v>1591</v>
      </c>
      <c r="H551" s="3" t="s">
        <v>1592</v>
      </c>
      <c r="I551" s="3" t="s">
        <v>2986</v>
      </c>
      <c r="J551" s="4">
        <v>0</v>
      </c>
      <c r="K551" s="4">
        <v>0</v>
      </c>
      <c r="L551" s="4">
        <v>0</v>
      </c>
      <c r="M551" s="4">
        <v>0</v>
      </c>
      <c r="N551" s="5">
        <v>0</v>
      </c>
      <c r="O551" s="5">
        <v>0</v>
      </c>
      <c r="P551" s="5">
        <v>0</v>
      </c>
      <c r="Q551" s="5">
        <v>0</v>
      </c>
      <c r="R551" s="5">
        <v>0</v>
      </c>
      <c r="S551" s="5">
        <v>0</v>
      </c>
      <c r="T551" s="5">
        <f t="shared" si="81"/>
        <v>0</v>
      </c>
      <c r="U551" s="5">
        <v>21668</v>
      </c>
      <c r="V551" s="5">
        <v>0</v>
      </c>
      <c r="W551" s="5">
        <v>0</v>
      </c>
      <c r="X551" s="5">
        <v>20000</v>
      </c>
      <c r="Y551" s="5">
        <v>41668</v>
      </c>
      <c r="Z551" s="5">
        <f t="shared" si="82"/>
        <v>41668</v>
      </c>
      <c r="AA551" s="20">
        <f t="shared" si="83"/>
        <v>0</v>
      </c>
    </row>
    <row r="552" spans="1:27" ht="12.75">
      <c r="A552" s="3" t="s">
        <v>2959</v>
      </c>
      <c r="B552" s="3" t="s">
        <v>2862</v>
      </c>
      <c r="C552" s="3" t="s">
        <v>2863</v>
      </c>
      <c r="D552" s="3" t="s">
        <v>2988</v>
      </c>
      <c r="E552" s="3" t="s">
        <v>1589</v>
      </c>
      <c r="F552" s="3" t="s">
        <v>2990</v>
      </c>
      <c r="G552" s="3" t="s">
        <v>1591</v>
      </c>
      <c r="H552" s="3" t="s">
        <v>1592</v>
      </c>
      <c r="I552" s="3" t="s">
        <v>2989</v>
      </c>
      <c r="J552" s="4">
        <v>0</v>
      </c>
      <c r="K552" s="4">
        <v>0</v>
      </c>
      <c r="L552" s="4">
        <v>0</v>
      </c>
      <c r="M552" s="4">
        <v>0</v>
      </c>
      <c r="N552" s="5">
        <v>0</v>
      </c>
      <c r="O552" s="5">
        <v>0</v>
      </c>
      <c r="P552" s="5">
        <v>0</v>
      </c>
      <c r="Q552" s="5">
        <v>0</v>
      </c>
      <c r="R552" s="5">
        <v>0</v>
      </c>
      <c r="S552" s="5">
        <v>0</v>
      </c>
      <c r="T552" s="5">
        <f t="shared" si="81"/>
        <v>0</v>
      </c>
      <c r="U552" s="5">
        <v>816095</v>
      </c>
      <c r="V552" s="5">
        <v>0</v>
      </c>
      <c r="W552" s="5">
        <v>0</v>
      </c>
      <c r="X552" s="5">
        <v>0</v>
      </c>
      <c r="Y552" s="5">
        <v>816095</v>
      </c>
      <c r="Z552" s="5">
        <f t="shared" si="82"/>
        <v>816095</v>
      </c>
      <c r="AA552" s="20">
        <f t="shared" si="83"/>
        <v>0</v>
      </c>
    </row>
    <row r="553" spans="1:27" ht="12.75">
      <c r="A553" s="3" t="s">
        <v>2959</v>
      </c>
      <c r="B553" s="3" t="s">
        <v>2862</v>
      </c>
      <c r="C553" s="3" t="s">
        <v>2863</v>
      </c>
      <c r="D553" s="3" t="s">
        <v>2991</v>
      </c>
      <c r="E553" s="3" t="s">
        <v>1589</v>
      </c>
      <c r="F553" s="3" t="s">
        <v>2993</v>
      </c>
      <c r="G553" s="3" t="s">
        <v>1591</v>
      </c>
      <c r="H553" s="3" t="s">
        <v>1592</v>
      </c>
      <c r="I553" s="3" t="s">
        <v>2992</v>
      </c>
      <c r="J553" s="4">
        <v>0</v>
      </c>
      <c r="K553" s="4">
        <v>0</v>
      </c>
      <c r="L553" s="4">
        <v>0</v>
      </c>
      <c r="M553" s="4">
        <v>0</v>
      </c>
      <c r="N553" s="5">
        <v>0</v>
      </c>
      <c r="O553" s="5">
        <v>0</v>
      </c>
      <c r="P553" s="5">
        <v>0</v>
      </c>
      <c r="Q553" s="5">
        <v>0</v>
      </c>
      <c r="R553" s="5">
        <v>0</v>
      </c>
      <c r="S553" s="5">
        <v>0</v>
      </c>
      <c r="T553" s="5">
        <f t="shared" si="81"/>
        <v>0</v>
      </c>
      <c r="U553" s="5">
        <v>5893</v>
      </c>
      <c r="V553" s="5">
        <v>0</v>
      </c>
      <c r="W553" s="5">
        <v>0</v>
      </c>
      <c r="X553" s="5">
        <v>0</v>
      </c>
      <c r="Y553" s="5">
        <v>5893</v>
      </c>
      <c r="Z553" s="5">
        <f t="shared" si="82"/>
        <v>5893</v>
      </c>
      <c r="AA553" s="20">
        <f t="shared" si="83"/>
        <v>0</v>
      </c>
    </row>
    <row r="554" spans="1:27" ht="12.75">
      <c r="A554" s="3" t="s">
        <v>2885</v>
      </c>
      <c r="B554" s="3" t="s">
        <v>2862</v>
      </c>
      <c r="C554" s="3" t="s">
        <v>2863</v>
      </c>
      <c r="D554" s="3" t="s">
        <v>2994</v>
      </c>
      <c r="E554" s="3" t="s">
        <v>1589</v>
      </c>
      <c r="F554" s="3" t="s">
        <v>2996</v>
      </c>
      <c r="G554" s="3" t="s">
        <v>1591</v>
      </c>
      <c r="H554" s="3" t="s">
        <v>1592</v>
      </c>
      <c r="I554" s="3" t="s">
        <v>2995</v>
      </c>
      <c r="J554" s="4">
        <v>0</v>
      </c>
      <c r="K554" s="4">
        <v>0</v>
      </c>
      <c r="L554" s="4">
        <v>0</v>
      </c>
      <c r="M554" s="4">
        <v>0</v>
      </c>
      <c r="N554" s="5">
        <v>0</v>
      </c>
      <c r="O554" s="5">
        <v>0</v>
      </c>
      <c r="P554" s="5">
        <v>0</v>
      </c>
      <c r="Q554" s="5">
        <v>0</v>
      </c>
      <c r="R554" s="5">
        <v>0</v>
      </c>
      <c r="S554" s="5">
        <v>0</v>
      </c>
      <c r="T554" s="5">
        <f t="shared" si="81"/>
        <v>0</v>
      </c>
      <c r="U554" s="5">
        <v>12882</v>
      </c>
      <c r="V554" s="5">
        <v>0</v>
      </c>
      <c r="W554" s="5">
        <v>0</v>
      </c>
      <c r="X554" s="5">
        <v>0</v>
      </c>
      <c r="Y554" s="5">
        <v>12882</v>
      </c>
      <c r="Z554" s="5">
        <f t="shared" si="82"/>
        <v>12882</v>
      </c>
      <c r="AA554" s="20">
        <f t="shared" si="83"/>
        <v>0</v>
      </c>
    </row>
    <row r="555" spans="1:27" ht="12.75">
      <c r="A555" s="3" t="s">
        <v>2885</v>
      </c>
      <c r="B555" s="3" t="s">
        <v>2862</v>
      </c>
      <c r="C555" s="3" t="s">
        <v>2863</v>
      </c>
      <c r="D555" s="3" t="s">
        <v>2997</v>
      </c>
      <c r="E555" s="3" t="s">
        <v>1589</v>
      </c>
      <c r="F555" s="3" t="s">
        <v>2999</v>
      </c>
      <c r="G555" s="3" t="s">
        <v>1591</v>
      </c>
      <c r="H555" s="3" t="s">
        <v>1592</v>
      </c>
      <c r="I555" s="3" t="s">
        <v>2998</v>
      </c>
      <c r="J555" s="4">
        <v>0</v>
      </c>
      <c r="K555" s="4">
        <v>0</v>
      </c>
      <c r="L555" s="4">
        <v>0</v>
      </c>
      <c r="M555" s="4">
        <v>0</v>
      </c>
      <c r="N555" s="5">
        <v>0</v>
      </c>
      <c r="O555" s="5">
        <v>0</v>
      </c>
      <c r="P555" s="5">
        <v>0</v>
      </c>
      <c r="Q555" s="5">
        <v>0</v>
      </c>
      <c r="R555" s="5">
        <v>0</v>
      </c>
      <c r="S555" s="5">
        <v>0</v>
      </c>
      <c r="T555" s="5">
        <f t="shared" si="81"/>
        <v>0</v>
      </c>
      <c r="U555" s="5">
        <v>18928</v>
      </c>
      <c r="V555" s="5">
        <v>0</v>
      </c>
      <c r="W555" s="5">
        <v>0</v>
      </c>
      <c r="X555" s="5">
        <v>0</v>
      </c>
      <c r="Y555" s="5">
        <v>18928</v>
      </c>
      <c r="Z555" s="5">
        <f t="shared" si="82"/>
        <v>18928</v>
      </c>
      <c r="AA555" s="20">
        <f t="shared" si="83"/>
        <v>0</v>
      </c>
    </row>
    <row r="556" spans="1:27" ht="12.75">
      <c r="A556" s="3" t="s">
        <v>1680</v>
      </c>
      <c r="B556" s="3" t="s">
        <v>2862</v>
      </c>
      <c r="C556" s="3" t="s">
        <v>2863</v>
      </c>
      <c r="D556" s="3" t="s">
        <v>3000</v>
      </c>
      <c r="E556" s="3" t="s">
        <v>1589</v>
      </c>
      <c r="F556" s="3" t="s">
        <v>3002</v>
      </c>
      <c r="G556" s="3" t="s">
        <v>1591</v>
      </c>
      <c r="H556" s="3" t="s">
        <v>1592</v>
      </c>
      <c r="I556" s="3" t="s">
        <v>3001</v>
      </c>
      <c r="J556" s="4">
        <v>0</v>
      </c>
      <c r="K556" s="4">
        <v>0</v>
      </c>
      <c r="L556" s="4">
        <v>0</v>
      </c>
      <c r="M556" s="4">
        <v>0</v>
      </c>
      <c r="N556" s="5">
        <v>0</v>
      </c>
      <c r="O556" s="5">
        <v>0</v>
      </c>
      <c r="P556" s="5">
        <v>36000</v>
      </c>
      <c r="Q556" s="5">
        <v>0</v>
      </c>
      <c r="R556" s="5">
        <v>0</v>
      </c>
      <c r="S556" s="5">
        <v>0</v>
      </c>
      <c r="T556" s="5">
        <f t="shared" si="81"/>
        <v>36000</v>
      </c>
      <c r="U556" s="5">
        <v>0</v>
      </c>
      <c r="V556" s="5">
        <v>0</v>
      </c>
      <c r="W556" s="5">
        <v>0</v>
      </c>
      <c r="X556" s="5">
        <v>3900</v>
      </c>
      <c r="Y556" s="5">
        <v>39900</v>
      </c>
      <c r="Z556" s="5">
        <f t="shared" si="82"/>
        <v>39900</v>
      </c>
      <c r="AA556" s="20">
        <f t="shared" si="83"/>
        <v>0</v>
      </c>
    </row>
    <row r="557" spans="1:27" ht="12.75">
      <c r="A557" s="3" t="s">
        <v>1584</v>
      </c>
      <c r="B557" s="3" t="s">
        <v>2862</v>
      </c>
      <c r="C557" s="3" t="s">
        <v>2863</v>
      </c>
      <c r="D557" s="3" t="s">
        <v>3003</v>
      </c>
      <c r="E557" s="3" t="s">
        <v>1589</v>
      </c>
      <c r="F557" s="3" t="s">
        <v>3005</v>
      </c>
      <c r="G557" s="3" t="s">
        <v>1591</v>
      </c>
      <c r="H557" s="3" t="s">
        <v>1592</v>
      </c>
      <c r="I557" s="3" t="s">
        <v>2415</v>
      </c>
      <c r="J557" s="4">
        <v>0</v>
      </c>
      <c r="K557" s="4">
        <v>0</v>
      </c>
      <c r="L557" s="4">
        <v>0</v>
      </c>
      <c r="M557" s="4">
        <v>0</v>
      </c>
      <c r="N557" s="5">
        <v>0</v>
      </c>
      <c r="O557" s="5">
        <v>0</v>
      </c>
      <c r="P557" s="5">
        <v>12168</v>
      </c>
      <c r="Q557" s="5">
        <v>0</v>
      </c>
      <c r="R557" s="5">
        <v>0</v>
      </c>
      <c r="S557" s="5">
        <v>0</v>
      </c>
      <c r="T557" s="5">
        <f t="shared" si="81"/>
        <v>12168</v>
      </c>
      <c r="U557" s="5">
        <v>6611</v>
      </c>
      <c r="V557" s="5">
        <v>0</v>
      </c>
      <c r="W557" s="5">
        <v>0</v>
      </c>
      <c r="X557" s="5">
        <v>0</v>
      </c>
      <c r="Y557" s="5">
        <v>18779</v>
      </c>
      <c r="Z557" s="5">
        <f t="shared" si="82"/>
        <v>18779</v>
      </c>
      <c r="AA557" s="20">
        <f t="shared" si="83"/>
        <v>0</v>
      </c>
    </row>
    <row r="558" spans="1:27" ht="12.75">
      <c r="A558" s="3" t="s">
        <v>1680</v>
      </c>
      <c r="B558" s="3" t="s">
        <v>2862</v>
      </c>
      <c r="C558" s="3" t="s">
        <v>2863</v>
      </c>
      <c r="D558" s="3" t="s">
        <v>3006</v>
      </c>
      <c r="E558" s="3" t="s">
        <v>1589</v>
      </c>
      <c r="F558" s="3" t="s">
        <v>3008</v>
      </c>
      <c r="G558" s="3" t="s">
        <v>1591</v>
      </c>
      <c r="H558" s="3" t="s">
        <v>1592</v>
      </c>
      <c r="I558" s="3" t="s">
        <v>2152</v>
      </c>
      <c r="J558" s="4">
        <v>0</v>
      </c>
      <c r="K558" s="4">
        <v>0</v>
      </c>
      <c r="L558" s="4">
        <v>0</v>
      </c>
      <c r="M558" s="4">
        <v>0</v>
      </c>
      <c r="N558" s="5">
        <v>0</v>
      </c>
      <c r="O558" s="5">
        <v>0</v>
      </c>
      <c r="P558" s="5">
        <v>0</v>
      </c>
      <c r="Q558" s="5">
        <v>0</v>
      </c>
      <c r="R558" s="5">
        <v>0</v>
      </c>
      <c r="S558" s="5">
        <v>0</v>
      </c>
      <c r="T558" s="5">
        <f t="shared" si="81"/>
        <v>0</v>
      </c>
      <c r="U558" s="5">
        <f>SUM(S558:S558)</f>
        <v>0</v>
      </c>
      <c r="V558" s="5">
        <v>0</v>
      </c>
      <c r="W558" s="5">
        <v>9000</v>
      </c>
      <c r="X558" s="5">
        <v>0</v>
      </c>
      <c r="Y558" s="5">
        <v>9000</v>
      </c>
      <c r="Z558" s="5">
        <f t="shared" si="82"/>
        <v>9000</v>
      </c>
      <c r="AA558" s="20">
        <f t="shared" si="83"/>
        <v>0</v>
      </c>
    </row>
    <row r="559" spans="1:27" ht="12.75">
      <c r="A559" s="3" t="s">
        <v>1680</v>
      </c>
      <c r="B559" s="3" t="s">
        <v>2862</v>
      </c>
      <c r="C559" s="3" t="s">
        <v>2863</v>
      </c>
      <c r="D559" s="3" t="s">
        <v>3009</v>
      </c>
      <c r="E559" s="3" t="s">
        <v>1589</v>
      </c>
      <c r="F559" s="3" t="s">
        <v>3011</v>
      </c>
      <c r="G559" s="3" t="s">
        <v>1591</v>
      </c>
      <c r="H559" s="3" t="s">
        <v>1592</v>
      </c>
      <c r="I559" s="3" t="s">
        <v>3010</v>
      </c>
      <c r="J559" s="4">
        <v>0</v>
      </c>
      <c r="K559" s="4">
        <v>0</v>
      </c>
      <c r="L559" s="4">
        <v>0</v>
      </c>
      <c r="M559" s="4">
        <v>0</v>
      </c>
      <c r="N559" s="5">
        <v>0</v>
      </c>
      <c r="O559" s="5">
        <v>0</v>
      </c>
      <c r="P559" s="5">
        <v>0</v>
      </c>
      <c r="Q559" s="5">
        <v>0</v>
      </c>
      <c r="R559" s="5">
        <v>0</v>
      </c>
      <c r="S559" s="5">
        <v>0</v>
      </c>
      <c r="T559" s="5">
        <f t="shared" si="81"/>
        <v>0</v>
      </c>
      <c r="U559" s="5">
        <f>SUM(S559:S559)</f>
        <v>0</v>
      </c>
      <c r="V559" s="5">
        <v>0</v>
      </c>
      <c r="W559" s="5">
        <v>73473</v>
      </c>
      <c r="X559" s="5">
        <v>0</v>
      </c>
      <c r="Y559" s="5">
        <v>73473</v>
      </c>
      <c r="Z559" s="5">
        <f t="shared" si="82"/>
        <v>73473</v>
      </c>
      <c r="AA559" s="20">
        <f t="shared" si="83"/>
        <v>0</v>
      </c>
    </row>
    <row r="560" spans="1:27" ht="12.75">
      <c r="A560" s="3" t="s">
        <v>1680</v>
      </c>
      <c r="B560" s="3" t="s">
        <v>2862</v>
      </c>
      <c r="C560" s="3" t="s">
        <v>2863</v>
      </c>
      <c r="D560" s="3" t="s">
        <v>3012</v>
      </c>
      <c r="E560" s="3" t="s">
        <v>1589</v>
      </c>
      <c r="F560" s="3" t="s">
        <v>3014</v>
      </c>
      <c r="G560" s="3" t="s">
        <v>1591</v>
      </c>
      <c r="H560" s="3" t="s">
        <v>1592</v>
      </c>
      <c r="I560" s="3" t="s">
        <v>3013</v>
      </c>
      <c r="J560" s="4">
        <v>0</v>
      </c>
      <c r="K560" s="4">
        <v>0</v>
      </c>
      <c r="L560" s="4">
        <v>0</v>
      </c>
      <c r="M560" s="4">
        <v>0</v>
      </c>
      <c r="N560" s="5">
        <v>0</v>
      </c>
      <c r="O560" s="5">
        <v>0</v>
      </c>
      <c r="P560" s="5">
        <v>0</v>
      </c>
      <c r="Q560" s="5">
        <v>0</v>
      </c>
      <c r="R560" s="5">
        <v>0</v>
      </c>
      <c r="S560" s="5">
        <v>0</v>
      </c>
      <c r="T560" s="5">
        <f t="shared" si="81"/>
        <v>0</v>
      </c>
      <c r="U560" s="5">
        <f>SUM(S560:S560)</f>
        <v>0</v>
      </c>
      <c r="V560" s="5">
        <v>0</v>
      </c>
      <c r="W560" s="5">
        <v>0</v>
      </c>
      <c r="X560" s="5">
        <v>20167</v>
      </c>
      <c r="Y560" s="5">
        <v>20167</v>
      </c>
      <c r="Z560" s="5">
        <f t="shared" si="82"/>
        <v>20167</v>
      </c>
      <c r="AA560" s="20">
        <f t="shared" si="83"/>
        <v>0</v>
      </c>
    </row>
    <row r="561" spans="1:27" ht="12.75">
      <c r="A561" s="3" t="s">
        <v>2959</v>
      </c>
      <c r="B561" s="3" t="s">
        <v>2862</v>
      </c>
      <c r="C561" s="3" t="s">
        <v>2863</v>
      </c>
      <c r="D561" s="3" t="s">
        <v>3015</v>
      </c>
      <c r="E561" s="3" t="s">
        <v>1589</v>
      </c>
      <c r="F561" s="3" t="s">
        <v>3017</v>
      </c>
      <c r="G561" s="3" t="s">
        <v>1591</v>
      </c>
      <c r="H561" s="3" t="s">
        <v>1592</v>
      </c>
      <c r="I561" s="3" t="s">
        <v>3016</v>
      </c>
      <c r="J561" s="4">
        <v>0</v>
      </c>
      <c r="K561" s="4">
        <v>0</v>
      </c>
      <c r="L561" s="4">
        <v>0</v>
      </c>
      <c r="M561" s="4">
        <v>0</v>
      </c>
      <c r="N561" s="5">
        <v>0</v>
      </c>
      <c r="O561" s="5">
        <v>0</v>
      </c>
      <c r="P561" s="5">
        <v>0</v>
      </c>
      <c r="Q561" s="5">
        <v>0</v>
      </c>
      <c r="R561" s="5">
        <v>0</v>
      </c>
      <c r="S561" s="5">
        <v>0</v>
      </c>
      <c r="T561" s="5">
        <f t="shared" si="81"/>
        <v>0</v>
      </c>
      <c r="U561" s="5">
        <v>5000</v>
      </c>
      <c r="V561" s="5">
        <v>0</v>
      </c>
      <c r="W561" s="5">
        <v>0</v>
      </c>
      <c r="X561" s="5">
        <v>0</v>
      </c>
      <c r="Y561" s="5">
        <v>5000</v>
      </c>
      <c r="Z561" s="5">
        <f t="shared" si="82"/>
        <v>5000</v>
      </c>
      <c r="AA561" s="20">
        <f t="shared" si="83"/>
        <v>0</v>
      </c>
    </row>
    <row r="562" spans="1:27" ht="12.75">
      <c r="A562" s="3" t="s">
        <v>1584</v>
      </c>
      <c r="B562" s="3" t="s">
        <v>2862</v>
      </c>
      <c r="C562" s="3" t="s">
        <v>2863</v>
      </c>
      <c r="D562" s="3" t="s">
        <v>3018</v>
      </c>
      <c r="E562" s="3" t="s">
        <v>1589</v>
      </c>
      <c r="F562" s="3" t="s">
        <v>3020</v>
      </c>
      <c r="G562" s="3" t="s">
        <v>1591</v>
      </c>
      <c r="H562" s="3" t="s">
        <v>1592</v>
      </c>
      <c r="I562" s="3" t="s">
        <v>3019</v>
      </c>
      <c r="J562" s="4">
        <v>0</v>
      </c>
      <c r="K562" s="4">
        <v>0</v>
      </c>
      <c r="L562" s="4">
        <v>0</v>
      </c>
      <c r="M562" s="4">
        <v>0</v>
      </c>
      <c r="N562" s="5">
        <v>0</v>
      </c>
      <c r="O562" s="5">
        <v>0</v>
      </c>
      <c r="P562" s="5">
        <v>104280</v>
      </c>
      <c r="Q562" s="5">
        <v>0</v>
      </c>
      <c r="R562" s="5">
        <v>0</v>
      </c>
      <c r="S562" s="5">
        <v>0</v>
      </c>
      <c r="T562" s="5">
        <f t="shared" si="81"/>
        <v>104280</v>
      </c>
      <c r="U562" s="5">
        <f>SUM(S562:S562)</f>
        <v>0</v>
      </c>
      <c r="V562" s="5">
        <v>0</v>
      </c>
      <c r="W562" s="5">
        <v>0</v>
      </c>
      <c r="X562" s="5">
        <v>0</v>
      </c>
      <c r="Y562" s="5">
        <v>104280</v>
      </c>
      <c r="Z562" s="5">
        <f t="shared" si="82"/>
        <v>104280</v>
      </c>
      <c r="AA562" s="20">
        <f t="shared" si="83"/>
        <v>0</v>
      </c>
    </row>
    <row r="563" spans="1:27" ht="12.75">
      <c r="A563" s="3" t="s">
        <v>1584</v>
      </c>
      <c r="B563" s="3" t="s">
        <v>2862</v>
      </c>
      <c r="C563" s="3" t="s">
        <v>2863</v>
      </c>
      <c r="D563" s="3" t="s">
        <v>3021</v>
      </c>
      <c r="E563" s="3" t="s">
        <v>1589</v>
      </c>
      <c r="F563" s="3" t="s">
        <v>3023</v>
      </c>
      <c r="G563" s="3" t="s">
        <v>1591</v>
      </c>
      <c r="H563" s="3" t="s">
        <v>1592</v>
      </c>
      <c r="I563" s="3" t="s">
        <v>3022</v>
      </c>
      <c r="J563" s="4">
        <v>0</v>
      </c>
      <c r="K563" s="4">
        <v>0</v>
      </c>
      <c r="L563" s="4">
        <v>0</v>
      </c>
      <c r="M563" s="4">
        <v>0</v>
      </c>
      <c r="N563" s="5">
        <v>0</v>
      </c>
      <c r="O563" s="5">
        <v>0</v>
      </c>
      <c r="P563" s="5">
        <v>0</v>
      </c>
      <c r="Q563" s="5">
        <v>0</v>
      </c>
      <c r="R563" s="5">
        <v>0</v>
      </c>
      <c r="S563" s="5">
        <v>0</v>
      </c>
      <c r="T563" s="5">
        <f t="shared" si="81"/>
        <v>0</v>
      </c>
      <c r="U563" s="5">
        <f>SUM(S563:S563)</f>
        <v>0</v>
      </c>
      <c r="V563" s="5">
        <v>0</v>
      </c>
      <c r="W563" s="5">
        <v>2498</v>
      </c>
      <c r="X563" s="5">
        <v>0</v>
      </c>
      <c r="Y563" s="5">
        <v>2498</v>
      </c>
      <c r="Z563" s="5">
        <f t="shared" si="82"/>
        <v>2498</v>
      </c>
      <c r="AA563" s="20">
        <f t="shared" si="83"/>
        <v>0</v>
      </c>
    </row>
    <row r="564" spans="1:27" ht="12.75">
      <c r="A564" s="3" t="s">
        <v>2908</v>
      </c>
      <c r="B564" s="3" t="s">
        <v>2862</v>
      </c>
      <c r="C564" s="3" t="s">
        <v>2863</v>
      </c>
      <c r="D564" s="3" t="s">
        <v>3024</v>
      </c>
      <c r="E564" s="3" t="s">
        <v>1589</v>
      </c>
      <c r="F564" s="3" t="s">
        <v>3026</v>
      </c>
      <c r="G564" s="3" t="s">
        <v>1591</v>
      </c>
      <c r="H564" s="3" t="s">
        <v>1592</v>
      </c>
      <c r="I564" s="3" t="s">
        <v>2416</v>
      </c>
      <c r="J564" s="4">
        <v>6</v>
      </c>
      <c r="K564" s="4">
        <v>0</v>
      </c>
      <c r="L564" s="4">
        <v>15.5</v>
      </c>
      <c r="M564" s="4">
        <v>0</v>
      </c>
      <c r="N564" s="5">
        <v>890814</v>
      </c>
      <c r="O564" s="5">
        <v>0</v>
      </c>
      <c r="P564" s="5">
        <v>10000</v>
      </c>
      <c r="Q564" s="5">
        <v>0</v>
      </c>
      <c r="R564" s="5">
        <v>0</v>
      </c>
      <c r="S564" s="5">
        <v>0</v>
      </c>
      <c r="T564" s="5">
        <f t="shared" si="81"/>
        <v>900814</v>
      </c>
      <c r="U564" s="5">
        <v>126416</v>
      </c>
      <c r="V564" s="5">
        <v>0</v>
      </c>
      <c r="W564" s="5">
        <v>0</v>
      </c>
      <c r="X564" s="5">
        <v>21000</v>
      </c>
      <c r="Y564" s="5">
        <v>1048230</v>
      </c>
      <c r="Z564" s="5">
        <f t="shared" si="82"/>
        <v>1048230</v>
      </c>
      <c r="AA564" s="20">
        <f t="shared" si="83"/>
        <v>0</v>
      </c>
    </row>
    <row r="565" spans="1:27" ht="12.75">
      <c r="A565" s="3" t="s">
        <v>2874</v>
      </c>
      <c r="B565" s="3" t="s">
        <v>2862</v>
      </c>
      <c r="C565" s="3" t="s">
        <v>2863</v>
      </c>
      <c r="D565" s="3" t="s">
        <v>3027</v>
      </c>
      <c r="E565" s="3" t="s">
        <v>1589</v>
      </c>
      <c r="F565" s="3" t="s">
        <v>3029</v>
      </c>
      <c r="G565" s="3" t="s">
        <v>1591</v>
      </c>
      <c r="H565" s="3" t="s">
        <v>1592</v>
      </c>
      <c r="I565" s="3" t="s">
        <v>3028</v>
      </c>
      <c r="J565" s="4">
        <v>0</v>
      </c>
      <c r="K565" s="4">
        <v>0</v>
      </c>
      <c r="L565" s="4">
        <v>0</v>
      </c>
      <c r="M565" s="4">
        <v>0</v>
      </c>
      <c r="N565" s="5">
        <v>0</v>
      </c>
      <c r="O565" s="5">
        <v>0</v>
      </c>
      <c r="P565" s="5">
        <v>0</v>
      </c>
      <c r="Q565" s="5">
        <v>0</v>
      </c>
      <c r="R565" s="5">
        <v>0</v>
      </c>
      <c r="S565" s="5">
        <v>0</v>
      </c>
      <c r="T565" s="5">
        <f t="shared" si="81"/>
        <v>0</v>
      </c>
      <c r="U565" s="5">
        <v>2418</v>
      </c>
      <c r="V565" s="5">
        <v>0</v>
      </c>
      <c r="W565" s="5">
        <v>0</v>
      </c>
      <c r="X565" s="5">
        <v>13744</v>
      </c>
      <c r="Y565" s="5">
        <v>16162</v>
      </c>
      <c r="Z565" s="5">
        <f t="shared" si="82"/>
        <v>16162</v>
      </c>
      <c r="AA565" s="20">
        <f t="shared" si="83"/>
        <v>0</v>
      </c>
    </row>
    <row r="566" spans="1:27" ht="12.75">
      <c r="A566" s="3" t="s">
        <v>2874</v>
      </c>
      <c r="B566" s="3" t="s">
        <v>2862</v>
      </c>
      <c r="C566" s="3" t="s">
        <v>2863</v>
      </c>
      <c r="D566" s="3" t="s">
        <v>3030</v>
      </c>
      <c r="E566" s="3" t="s">
        <v>1589</v>
      </c>
      <c r="F566" s="3" t="s">
        <v>3032</v>
      </c>
      <c r="G566" s="3" t="s">
        <v>1591</v>
      </c>
      <c r="H566" s="3" t="s">
        <v>1592</v>
      </c>
      <c r="I566" s="3" t="s">
        <v>2417</v>
      </c>
      <c r="J566" s="4">
        <v>1</v>
      </c>
      <c r="K566" s="4">
        <v>0</v>
      </c>
      <c r="L566" s="4">
        <v>2</v>
      </c>
      <c r="M566" s="4">
        <v>0</v>
      </c>
      <c r="N566" s="5">
        <v>159252</v>
      </c>
      <c r="O566" s="5">
        <v>0</v>
      </c>
      <c r="P566" s="5">
        <v>0</v>
      </c>
      <c r="Q566" s="5">
        <v>0</v>
      </c>
      <c r="R566" s="5">
        <v>0</v>
      </c>
      <c r="S566" s="5">
        <v>0</v>
      </c>
      <c r="T566" s="5">
        <f t="shared" si="81"/>
        <v>159252</v>
      </c>
      <c r="U566" s="5">
        <v>6803</v>
      </c>
      <c r="V566" s="5">
        <v>0</v>
      </c>
      <c r="W566" s="5">
        <v>0</v>
      </c>
      <c r="X566" s="5">
        <v>0</v>
      </c>
      <c r="Y566" s="5">
        <v>166055</v>
      </c>
      <c r="Z566" s="5">
        <f t="shared" si="82"/>
        <v>166055</v>
      </c>
      <c r="AA566" s="20">
        <f t="shared" si="83"/>
        <v>0</v>
      </c>
    </row>
    <row r="567" spans="1:27" ht="12.75">
      <c r="A567" s="3" t="s">
        <v>3033</v>
      </c>
      <c r="B567" s="3" t="s">
        <v>2862</v>
      </c>
      <c r="C567" s="3" t="s">
        <v>2863</v>
      </c>
      <c r="D567" s="3" t="s">
        <v>3034</v>
      </c>
      <c r="E567" s="3" t="s">
        <v>1589</v>
      </c>
      <c r="F567" s="3" t="s">
        <v>3036</v>
      </c>
      <c r="G567" s="3" t="s">
        <v>1591</v>
      </c>
      <c r="H567" s="3" t="s">
        <v>1592</v>
      </c>
      <c r="I567" s="3" t="s">
        <v>3035</v>
      </c>
      <c r="J567" s="4">
        <v>1</v>
      </c>
      <c r="K567" s="4">
        <v>0</v>
      </c>
      <c r="L567" s="4">
        <v>3</v>
      </c>
      <c r="M567" s="4">
        <v>0</v>
      </c>
      <c r="N567" s="5">
        <v>186492</v>
      </c>
      <c r="O567" s="5">
        <v>0</v>
      </c>
      <c r="P567" s="5">
        <v>10152</v>
      </c>
      <c r="Q567" s="5">
        <v>0</v>
      </c>
      <c r="R567" s="5">
        <v>0</v>
      </c>
      <c r="S567" s="5">
        <v>0</v>
      </c>
      <c r="T567" s="5">
        <f t="shared" si="81"/>
        <v>196644</v>
      </c>
      <c r="U567" s="5">
        <v>7547</v>
      </c>
      <c r="V567" s="5">
        <v>0</v>
      </c>
      <c r="W567" s="5">
        <v>0</v>
      </c>
      <c r="X567" s="5">
        <v>0</v>
      </c>
      <c r="Y567" s="5">
        <v>204191</v>
      </c>
      <c r="Z567" s="5">
        <f t="shared" si="82"/>
        <v>204191</v>
      </c>
      <c r="AA567" s="20">
        <f t="shared" si="83"/>
        <v>0</v>
      </c>
    </row>
    <row r="568" spans="10:27" ht="12.75">
      <c r="J568" s="4"/>
      <c r="K568" s="4"/>
      <c r="L568" s="4"/>
      <c r="M568" s="4"/>
      <c r="N568" s="5"/>
      <c r="O568" s="5"/>
      <c r="P568" s="5"/>
      <c r="Q568" s="5"/>
      <c r="R568" s="5"/>
      <c r="S568" s="5"/>
      <c r="T568" s="5" t="s">
        <v>2540</v>
      </c>
      <c r="U568" s="5"/>
      <c r="V568" s="5"/>
      <c r="W568" s="5"/>
      <c r="X568" s="5"/>
      <c r="Y568" s="5"/>
      <c r="Z568" s="5" t="s">
        <v>2540</v>
      </c>
      <c r="AA568" s="20" t="s">
        <v>2540</v>
      </c>
    </row>
    <row r="569" spans="9:27" ht="12.75">
      <c r="I569" s="3" t="s">
        <v>188</v>
      </c>
      <c r="J569" s="4"/>
      <c r="K569" s="4"/>
      <c r="L569" s="4"/>
      <c r="M569" s="4"/>
      <c r="N569" s="5"/>
      <c r="O569" s="5"/>
      <c r="P569" s="5"/>
      <c r="Q569" s="5"/>
      <c r="R569" s="5"/>
      <c r="S569" s="5"/>
      <c r="T569" s="5" t="s">
        <v>2540</v>
      </c>
      <c r="U569" s="5"/>
      <c r="V569" s="5"/>
      <c r="W569" s="5"/>
      <c r="X569" s="5"/>
      <c r="Y569" s="5"/>
      <c r="Z569" s="5" t="s">
        <v>2540</v>
      </c>
      <c r="AA569" s="20" t="s">
        <v>2540</v>
      </c>
    </row>
    <row r="570" spans="10:27" ht="12.75">
      <c r="J570" s="4"/>
      <c r="K570" s="4"/>
      <c r="L570" s="4"/>
      <c r="M570" s="4"/>
      <c r="N570" s="5"/>
      <c r="O570" s="5"/>
      <c r="P570" s="5"/>
      <c r="Q570" s="5"/>
      <c r="R570" s="5"/>
      <c r="S570" s="5"/>
      <c r="T570" s="5" t="s">
        <v>2540</v>
      </c>
      <c r="U570" s="5"/>
      <c r="V570" s="5"/>
      <c r="W570" s="5"/>
      <c r="X570" s="5"/>
      <c r="Y570" s="5"/>
      <c r="Z570" s="5" t="s">
        <v>2540</v>
      </c>
      <c r="AA570" s="20" t="s">
        <v>2540</v>
      </c>
    </row>
    <row r="571" spans="1:27" ht="12.75">
      <c r="A571" s="3" t="s">
        <v>1680</v>
      </c>
      <c r="B571" s="3" t="s">
        <v>2862</v>
      </c>
      <c r="C571" s="3" t="s">
        <v>2863</v>
      </c>
      <c r="D571" s="3" t="s">
        <v>3037</v>
      </c>
      <c r="E571" s="3" t="s">
        <v>1589</v>
      </c>
      <c r="F571" s="3" t="s">
        <v>3039</v>
      </c>
      <c r="G571" s="3" t="s">
        <v>1591</v>
      </c>
      <c r="H571" s="3" t="s">
        <v>1592</v>
      </c>
      <c r="I571" s="3" t="s">
        <v>3038</v>
      </c>
      <c r="J571" s="4">
        <v>1</v>
      </c>
      <c r="K571" s="4">
        <v>0</v>
      </c>
      <c r="L571" s="4">
        <v>3</v>
      </c>
      <c r="M571" s="4">
        <v>0</v>
      </c>
      <c r="N571" s="5">
        <v>197076</v>
      </c>
      <c r="O571" s="5">
        <v>0</v>
      </c>
      <c r="P571" s="5">
        <v>0</v>
      </c>
      <c r="Q571" s="5">
        <v>0</v>
      </c>
      <c r="R571" s="5">
        <v>0</v>
      </c>
      <c r="S571" s="5">
        <v>0</v>
      </c>
      <c r="T571" s="5">
        <f t="shared" si="81"/>
        <v>197076</v>
      </c>
      <c r="U571" s="5">
        <v>6033</v>
      </c>
      <c r="V571" s="5">
        <v>0</v>
      </c>
      <c r="W571" s="5">
        <v>0</v>
      </c>
      <c r="X571" s="5">
        <v>0</v>
      </c>
      <c r="Y571" s="5">
        <v>203109</v>
      </c>
      <c r="Z571" s="5">
        <f t="shared" si="82"/>
        <v>203109</v>
      </c>
      <c r="AA571" s="20">
        <f t="shared" si="83"/>
        <v>0</v>
      </c>
    </row>
    <row r="572" spans="1:27" ht="12.75">
      <c r="A572" s="3" t="s">
        <v>1680</v>
      </c>
      <c r="B572" s="3" t="s">
        <v>2862</v>
      </c>
      <c r="C572" s="3" t="s">
        <v>2863</v>
      </c>
      <c r="D572" s="3" t="s">
        <v>3040</v>
      </c>
      <c r="E572" s="3" t="s">
        <v>1589</v>
      </c>
      <c r="F572" s="3" t="s">
        <v>3042</v>
      </c>
      <c r="G572" s="3" t="s">
        <v>1591</v>
      </c>
      <c r="H572" s="3" t="s">
        <v>1592</v>
      </c>
      <c r="I572" s="3" t="s">
        <v>3041</v>
      </c>
      <c r="J572" s="4">
        <v>0</v>
      </c>
      <c r="K572" s="4">
        <v>0</v>
      </c>
      <c r="L572" s="4">
        <v>20</v>
      </c>
      <c r="M572" s="4">
        <v>0</v>
      </c>
      <c r="N572" s="5">
        <v>462696</v>
      </c>
      <c r="O572" s="5">
        <v>1083</v>
      </c>
      <c r="P572" s="5">
        <v>12487</v>
      </c>
      <c r="Q572" s="5">
        <v>0</v>
      </c>
      <c r="R572" s="5">
        <v>0</v>
      </c>
      <c r="S572" s="5">
        <v>0</v>
      </c>
      <c r="T572" s="5">
        <f t="shared" si="81"/>
        <v>476266</v>
      </c>
      <c r="U572" s="5">
        <v>30776</v>
      </c>
      <c r="V572" s="5">
        <v>0</v>
      </c>
      <c r="W572" s="5">
        <v>0</v>
      </c>
      <c r="X572" s="5">
        <v>0</v>
      </c>
      <c r="Y572" s="5">
        <v>507042</v>
      </c>
      <c r="Z572" s="5">
        <f t="shared" si="82"/>
        <v>507042</v>
      </c>
      <c r="AA572" s="20">
        <f t="shared" si="83"/>
        <v>0</v>
      </c>
    </row>
    <row r="573" spans="1:27" ht="12.75">
      <c r="A573" s="3" t="s">
        <v>1680</v>
      </c>
      <c r="B573" s="3" t="s">
        <v>2862</v>
      </c>
      <c r="C573" s="3" t="s">
        <v>2863</v>
      </c>
      <c r="D573" s="3" t="s">
        <v>3043</v>
      </c>
      <c r="E573" s="3" t="s">
        <v>1589</v>
      </c>
      <c r="F573" s="3" t="s">
        <v>3045</v>
      </c>
      <c r="G573" s="3" t="s">
        <v>1591</v>
      </c>
      <c r="H573" s="3" t="s">
        <v>1592</v>
      </c>
      <c r="I573" s="3" t="s">
        <v>3044</v>
      </c>
      <c r="J573" s="4">
        <v>0</v>
      </c>
      <c r="K573" s="4">
        <v>0</v>
      </c>
      <c r="L573" s="4">
        <v>4</v>
      </c>
      <c r="M573" s="4">
        <v>0</v>
      </c>
      <c r="N573" s="5">
        <v>112824</v>
      </c>
      <c r="O573" s="5">
        <v>2494</v>
      </c>
      <c r="P573" s="5">
        <v>4368</v>
      </c>
      <c r="Q573" s="5">
        <v>0</v>
      </c>
      <c r="R573" s="5">
        <v>0</v>
      </c>
      <c r="S573" s="5">
        <v>0</v>
      </c>
      <c r="T573" s="5">
        <f t="shared" si="81"/>
        <v>119686</v>
      </c>
      <c r="U573" s="5">
        <v>11313</v>
      </c>
      <c r="V573" s="5">
        <v>0</v>
      </c>
      <c r="W573" s="5">
        <v>0</v>
      </c>
      <c r="X573" s="5">
        <v>0</v>
      </c>
      <c r="Y573" s="5">
        <v>130999</v>
      </c>
      <c r="Z573" s="5">
        <f t="shared" si="82"/>
        <v>130999</v>
      </c>
      <c r="AA573" s="20">
        <f t="shared" si="83"/>
        <v>0</v>
      </c>
    </row>
    <row r="574" spans="1:27" ht="12.75">
      <c r="A574" s="3" t="s">
        <v>1680</v>
      </c>
      <c r="B574" s="3" t="s">
        <v>2862</v>
      </c>
      <c r="C574" s="3" t="s">
        <v>2863</v>
      </c>
      <c r="D574" s="3" t="s">
        <v>3046</v>
      </c>
      <c r="E574" s="3" t="s">
        <v>1589</v>
      </c>
      <c r="F574" s="3" t="s">
        <v>3048</v>
      </c>
      <c r="G574" s="3" t="s">
        <v>1591</v>
      </c>
      <c r="H574" s="3" t="s">
        <v>1592</v>
      </c>
      <c r="I574" s="3" t="s">
        <v>3047</v>
      </c>
      <c r="J574" s="4">
        <v>0</v>
      </c>
      <c r="K574" s="4">
        <v>0</v>
      </c>
      <c r="L574" s="4">
        <v>5</v>
      </c>
      <c r="M574" s="4">
        <v>0</v>
      </c>
      <c r="N574" s="5">
        <v>143880</v>
      </c>
      <c r="O574" s="5">
        <v>0</v>
      </c>
      <c r="P574" s="5">
        <v>0</v>
      </c>
      <c r="Q574" s="5">
        <v>0</v>
      </c>
      <c r="R574" s="5">
        <v>0</v>
      </c>
      <c r="S574" s="5">
        <v>0</v>
      </c>
      <c r="T574" s="5">
        <f t="shared" si="81"/>
        <v>143880</v>
      </c>
      <c r="U574" s="5">
        <v>12300</v>
      </c>
      <c r="V574" s="5">
        <v>0</v>
      </c>
      <c r="W574" s="5">
        <v>0</v>
      </c>
      <c r="X574" s="5">
        <v>0</v>
      </c>
      <c r="Y574" s="5">
        <v>156180</v>
      </c>
      <c r="Z574" s="5">
        <f t="shared" si="82"/>
        <v>156180</v>
      </c>
      <c r="AA574" s="20">
        <f t="shared" si="83"/>
        <v>0</v>
      </c>
    </row>
    <row r="575" spans="1:27" ht="12.75">
      <c r="A575" s="3" t="s">
        <v>1680</v>
      </c>
      <c r="B575" s="3" t="s">
        <v>2862</v>
      </c>
      <c r="C575" s="3" t="s">
        <v>2863</v>
      </c>
      <c r="D575" s="3" t="s">
        <v>3049</v>
      </c>
      <c r="E575" s="3" t="s">
        <v>1589</v>
      </c>
      <c r="F575" s="3" t="s">
        <v>3051</v>
      </c>
      <c r="G575" s="3" t="s">
        <v>1591</v>
      </c>
      <c r="H575" s="3" t="s">
        <v>1592</v>
      </c>
      <c r="I575" s="3" t="s">
        <v>3050</v>
      </c>
      <c r="J575" s="4">
        <v>0</v>
      </c>
      <c r="K575" s="4">
        <v>0</v>
      </c>
      <c r="L575" s="4">
        <v>6</v>
      </c>
      <c r="M575" s="4">
        <v>0</v>
      </c>
      <c r="N575" s="5">
        <v>172308</v>
      </c>
      <c r="O575" s="5">
        <v>0</v>
      </c>
      <c r="P575" s="5">
        <v>10633</v>
      </c>
      <c r="Q575" s="5">
        <v>0</v>
      </c>
      <c r="R575" s="5">
        <v>0</v>
      </c>
      <c r="S575" s="5">
        <v>0</v>
      </c>
      <c r="T575" s="5">
        <f t="shared" si="81"/>
        <v>182941</v>
      </c>
      <c r="U575" s="5">
        <v>18144</v>
      </c>
      <c r="V575" s="5">
        <v>0</v>
      </c>
      <c r="W575" s="5">
        <v>0</v>
      </c>
      <c r="X575" s="5">
        <v>0</v>
      </c>
      <c r="Y575" s="5">
        <v>201085</v>
      </c>
      <c r="Z575" s="5">
        <f t="shared" si="82"/>
        <v>201085</v>
      </c>
      <c r="AA575" s="20">
        <f t="shared" si="83"/>
        <v>0</v>
      </c>
    </row>
    <row r="576" spans="1:27" ht="13.5" thickBot="1">
      <c r="A576" s="3" t="s">
        <v>1680</v>
      </c>
      <c r="B576" s="3" t="s">
        <v>2862</v>
      </c>
      <c r="C576" s="3" t="s">
        <v>2863</v>
      </c>
      <c r="D576" s="3" t="s">
        <v>3052</v>
      </c>
      <c r="E576" s="3" t="s">
        <v>1589</v>
      </c>
      <c r="F576" s="3" t="s">
        <v>3054</v>
      </c>
      <c r="G576" s="3" t="s">
        <v>1591</v>
      </c>
      <c r="H576" s="3" t="s">
        <v>1592</v>
      </c>
      <c r="I576" s="3" t="s">
        <v>3053</v>
      </c>
      <c r="J576" s="6">
        <v>0</v>
      </c>
      <c r="K576" s="6">
        <v>0</v>
      </c>
      <c r="L576" s="6">
        <v>3</v>
      </c>
      <c r="M576" s="6">
        <v>0</v>
      </c>
      <c r="N576" s="7">
        <v>72972</v>
      </c>
      <c r="O576" s="7">
        <v>831</v>
      </c>
      <c r="P576" s="7">
        <v>9226</v>
      </c>
      <c r="Q576" s="7">
        <v>0</v>
      </c>
      <c r="R576" s="7">
        <v>0</v>
      </c>
      <c r="S576" s="7">
        <v>0</v>
      </c>
      <c r="T576" s="7">
        <f t="shared" si="81"/>
        <v>83029</v>
      </c>
      <c r="U576" s="7">
        <v>15696</v>
      </c>
      <c r="V576" s="7">
        <v>0</v>
      </c>
      <c r="W576" s="7">
        <v>0</v>
      </c>
      <c r="X576" s="7">
        <v>0</v>
      </c>
      <c r="Y576" s="7">
        <v>98725</v>
      </c>
      <c r="Z576" s="7">
        <f t="shared" si="82"/>
        <v>98725</v>
      </c>
      <c r="AA576" s="20">
        <f t="shared" si="83"/>
        <v>0</v>
      </c>
    </row>
    <row r="577" spans="9:27" ht="12.75">
      <c r="I577" s="3" t="s">
        <v>189</v>
      </c>
      <c r="J577" s="4">
        <f aca="true" t="shared" si="85" ref="J577:Z577">SUM(J571:J576)</f>
        <v>1</v>
      </c>
      <c r="K577" s="4">
        <f t="shared" si="85"/>
        <v>0</v>
      </c>
      <c r="L577" s="4">
        <f t="shared" si="85"/>
        <v>41</v>
      </c>
      <c r="M577" s="4">
        <f t="shared" si="85"/>
        <v>0</v>
      </c>
      <c r="N577" s="5">
        <f t="shared" si="85"/>
        <v>1161756</v>
      </c>
      <c r="O577" s="5">
        <f t="shared" si="85"/>
        <v>4408</v>
      </c>
      <c r="P577" s="5">
        <f t="shared" si="85"/>
        <v>36714</v>
      </c>
      <c r="Q577" s="5">
        <f t="shared" si="85"/>
        <v>0</v>
      </c>
      <c r="R577" s="5">
        <f t="shared" si="85"/>
        <v>0</v>
      </c>
      <c r="S577" s="5">
        <f t="shared" si="85"/>
        <v>0</v>
      </c>
      <c r="T577" s="5">
        <f t="shared" si="85"/>
        <v>1202878</v>
      </c>
      <c r="U577" s="5">
        <f t="shared" si="85"/>
        <v>94262</v>
      </c>
      <c r="V577" s="5">
        <f t="shared" si="85"/>
        <v>0</v>
      </c>
      <c r="W577" s="5">
        <f t="shared" si="85"/>
        <v>0</v>
      </c>
      <c r="X577" s="5">
        <f t="shared" si="85"/>
        <v>0</v>
      </c>
      <c r="Y577" s="5">
        <f t="shared" si="85"/>
        <v>1297140</v>
      </c>
      <c r="Z577" s="5">
        <f t="shared" si="85"/>
        <v>1297140</v>
      </c>
      <c r="AA577" s="20">
        <f t="shared" si="83"/>
        <v>0</v>
      </c>
    </row>
    <row r="578" spans="10:27" ht="12.75">
      <c r="J578" s="4"/>
      <c r="K578" s="4"/>
      <c r="L578" s="4"/>
      <c r="M578" s="4"/>
      <c r="N578" s="5"/>
      <c r="O578" s="5"/>
      <c r="P578" s="5"/>
      <c r="Q578" s="5"/>
      <c r="R578" s="5"/>
      <c r="S578" s="5"/>
      <c r="T578" s="5" t="s">
        <v>2540</v>
      </c>
      <c r="U578" s="5"/>
      <c r="V578" s="5"/>
      <c r="W578" s="5"/>
      <c r="X578" s="5"/>
      <c r="Y578" s="5"/>
      <c r="Z578" s="5" t="s">
        <v>2540</v>
      </c>
      <c r="AA578" s="20" t="s">
        <v>2540</v>
      </c>
    </row>
    <row r="579" spans="1:27" ht="12.75">
      <c r="A579" s="3" t="s">
        <v>2885</v>
      </c>
      <c r="B579" s="3" t="s">
        <v>2862</v>
      </c>
      <c r="C579" s="3" t="s">
        <v>2863</v>
      </c>
      <c r="D579" s="3" t="s">
        <v>3055</v>
      </c>
      <c r="E579" s="3" t="s">
        <v>1589</v>
      </c>
      <c r="F579" s="3" t="s">
        <v>3057</v>
      </c>
      <c r="G579" s="3" t="s">
        <v>1591</v>
      </c>
      <c r="H579" s="3" t="s">
        <v>1592</v>
      </c>
      <c r="I579" s="3" t="s">
        <v>2418</v>
      </c>
      <c r="J579" s="4">
        <v>1</v>
      </c>
      <c r="K579" s="4">
        <v>0</v>
      </c>
      <c r="L579" s="4">
        <v>1</v>
      </c>
      <c r="M579" s="4">
        <v>0</v>
      </c>
      <c r="N579" s="5">
        <v>106572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f t="shared" si="81"/>
        <v>106572</v>
      </c>
      <c r="U579" s="5">
        <v>40892</v>
      </c>
      <c r="V579" s="5">
        <v>0</v>
      </c>
      <c r="W579" s="5">
        <v>0</v>
      </c>
      <c r="X579" s="5">
        <v>1779</v>
      </c>
      <c r="Y579" s="5">
        <v>149243</v>
      </c>
      <c r="Z579" s="5">
        <f t="shared" si="82"/>
        <v>149243</v>
      </c>
      <c r="AA579" s="20">
        <f t="shared" si="83"/>
        <v>0</v>
      </c>
    </row>
    <row r="580" spans="1:27" ht="13.5" thickBot="1">
      <c r="A580" s="3" t="s">
        <v>2959</v>
      </c>
      <c r="B580" s="3" t="s">
        <v>2862</v>
      </c>
      <c r="C580" s="3" t="s">
        <v>2863</v>
      </c>
      <c r="D580" s="3" t="s">
        <v>3058</v>
      </c>
      <c r="E580" s="3" t="s">
        <v>1589</v>
      </c>
      <c r="F580" s="3" t="s">
        <v>3060</v>
      </c>
      <c r="G580" s="3" t="s">
        <v>1591</v>
      </c>
      <c r="H580" s="3" t="s">
        <v>1592</v>
      </c>
      <c r="I580" s="3" t="s">
        <v>3059</v>
      </c>
      <c r="J580" s="6">
        <v>1</v>
      </c>
      <c r="K580" s="6">
        <v>0</v>
      </c>
      <c r="L580" s="6">
        <v>2</v>
      </c>
      <c r="M580" s="6">
        <v>0</v>
      </c>
      <c r="N580" s="7">
        <v>117000</v>
      </c>
      <c r="O580" s="7">
        <v>668</v>
      </c>
      <c r="P580" s="7">
        <v>0</v>
      </c>
      <c r="Q580" s="7">
        <v>0</v>
      </c>
      <c r="R580" s="7">
        <v>0</v>
      </c>
      <c r="S580" s="7">
        <v>0</v>
      </c>
      <c r="T580" s="7">
        <f t="shared" si="81"/>
        <v>117668</v>
      </c>
      <c r="U580" s="7">
        <v>9941</v>
      </c>
      <c r="V580" s="7">
        <v>0</v>
      </c>
      <c r="W580" s="7">
        <v>0</v>
      </c>
      <c r="X580" s="7">
        <v>0</v>
      </c>
      <c r="Y580" s="7">
        <v>127609</v>
      </c>
      <c r="Z580" s="7">
        <f t="shared" si="82"/>
        <v>127609</v>
      </c>
      <c r="AA580" s="20">
        <f t="shared" si="83"/>
        <v>0</v>
      </c>
    </row>
    <row r="581" spans="10:27" ht="12.75">
      <c r="J581" s="16"/>
      <c r="K581" s="16"/>
      <c r="L581" s="16"/>
      <c r="M581" s="16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20"/>
    </row>
    <row r="582" spans="9:27" ht="12.75">
      <c r="I582" s="3" t="s">
        <v>190</v>
      </c>
      <c r="J582" s="16">
        <f>SUM(J510:J526)+(J536)+(J577)+SUM(J538:J567)+SUM(J579:J580)</f>
        <v>35</v>
      </c>
      <c r="K582" s="16">
        <f aca="true" t="shared" si="86" ref="K582:Y582">SUM(K510:K526)+(K536)+(K577)+SUM(K538:K567)+SUM(K579:K580)</f>
        <v>3.4539999999999997</v>
      </c>
      <c r="L582" s="16">
        <f t="shared" si="86"/>
        <v>186</v>
      </c>
      <c r="M582" s="16">
        <f t="shared" si="86"/>
        <v>3</v>
      </c>
      <c r="N582" s="12">
        <f t="shared" si="86"/>
        <v>8079824</v>
      </c>
      <c r="O582" s="12">
        <f t="shared" si="86"/>
        <v>64597</v>
      </c>
      <c r="P582" s="12">
        <f t="shared" si="86"/>
        <v>561399</v>
      </c>
      <c r="Q582" s="12">
        <f t="shared" si="86"/>
        <v>0</v>
      </c>
      <c r="R582" s="12">
        <f t="shared" si="86"/>
        <v>2199323</v>
      </c>
      <c r="S582" s="12">
        <f t="shared" si="86"/>
        <v>0</v>
      </c>
      <c r="T582" s="12">
        <f t="shared" si="86"/>
        <v>10905143</v>
      </c>
      <c r="U582" s="12">
        <f t="shared" si="86"/>
        <v>2374494</v>
      </c>
      <c r="V582" s="12">
        <f t="shared" si="86"/>
        <v>0</v>
      </c>
      <c r="W582" s="12">
        <f t="shared" si="86"/>
        <v>107077</v>
      </c>
      <c r="X582" s="12">
        <f t="shared" si="86"/>
        <v>136392</v>
      </c>
      <c r="Y582" s="12">
        <f t="shared" si="86"/>
        <v>13523106</v>
      </c>
      <c r="Z582" s="5">
        <f t="shared" si="82"/>
        <v>13523106</v>
      </c>
      <c r="AA582" s="20">
        <f t="shared" si="83"/>
        <v>0</v>
      </c>
    </row>
    <row r="583" spans="10:27" ht="12.75">
      <c r="J583" s="16"/>
      <c r="K583" s="16"/>
      <c r="L583" s="16"/>
      <c r="M583" s="16"/>
      <c r="N583" s="12"/>
      <c r="O583" s="12"/>
      <c r="P583" s="12"/>
      <c r="Q583" s="12"/>
      <c r="R583" s="12"/>
      <c r="S583" s="12"/>
      <c r="T583" s="5" t="s">
        <v>2540</v>
      </c>
      <c r="U583" s="12"/>
      <c r="V583" s="12"/>
      <c r="W583" s="12"/>
      <c r="X583" s="12"/>
      <c r="Y583" s="12"/>
      <c r="Z583" s="5" t="s">
        <v>2540</v>
      </c>
      <c r="AA583" s="20" t="s">
        <v>2540</v>
      </c>
    </row>
    <row r="584" spans="10:27" ht="12.75">
      <c r="J584" s="4"/>
      <c r="K584" s="4"/>
      <c r="L584" s="4"/>
      <c r="M584" s="4"/>
      <c r="N584" s="5"/>
      <c r="O584" s="5"/>
      <c r="P584" s="5"/>
      <c r="Q584" s="5"/>
      <c r="R584" s="5"/>
      <c r="S584" s="5"/>
      <c r="T584" s="5" t="s">
        <v>2540</v>
      </c>
      <c r="U584" s="5"/>
      <c r="V584" s="5"/>
      <c r="W584" s="5"/>
      <c r="X584" s="5"/>
      <c r="Y584" s="5"/>
      <c r="Z584" s="5" t="s">
        <v>2540</v>
      </c>
      <c r="AA584" s="20" t="s">
        <v>2540</v>
      </c>
    </row>
    <row r="585" spans="9:27" ht="12.75">
      <c r="I585" s="3" t="s">
        <v>3062</v>
      </c>
      <c r="J585" s="4"/>
      <c r="K585" s="4"/>
      <c r="L585" s="4"/>
      <c r="M585" s="4"/>
      <c r="N585" s="5"/>
      <c r="O585" s="5"/>
      <c r="P585" s="5"/>
      <c r="Q585" s="5"/>
      <c r="R585" s="5"/>
      <c r="S585" s="5"/>
      <c r="T585" s="5" t="s">
        <v>2540</v>
      </c>
      <c r="U585" s="5"/>
      <c r="V585" s="5"/>
      <c r="W585" s="5"/>
      <c r="X585" s="5"/>
      <c r="Y585" s="5"/>
      <c r="Z585" s="5" t="s">
        <v>2540</v>
      </c>
      <c r="AA585" s="20" t="s">
        <v>2540</v>
      </c>
    </row>
    <row r="586" spans="10:27" ht="12.75">
      <c r="J586" s="4"/>
      <c r="K586" s="4"/>
      <c r="L586" s="4"/>
      <c r="M586" s="4"/>
      <c r="N586" s="5"/>
      <c r="O586" s="5"/>
      <c r="P586" s="5"/>
      <c r="Q586" s="5"/>
      <c r="R586" s="5"/>
      <c r="S586" s="5"/>
      <c r="T586" s="5" t="s">
        <v>2540</v>
      </c>
      <c r="U586" s="5"/>
      <c r="V586" s="5"/>
      <c r="W586" s="5"/>
      <c r="X586" s="5"/>
      <c r="Y586" s="5"/>
      <c r="Z586" s="5" t="s">
        <v>2540</v>
      </c>
      <c r="AA586" s="20" t="s">
        <v>2540</v>
      </c>
    </row>
    <row r="587" spans="1:27" ht="12.75">
      <c r="A587" s="3" t="s">
        <v>1668</v>
      </c>
      <c r="B587" s="3" t="s">
        <v>3061</v>
      </c>
      <c r="C587" s="3" t="s">
        <v>3062</v>
      </c>
      <c r="D587" s="3" t="s">
        <v>3063</v>
      </c>
      <c r="E587" s="3" t="s">
        <v>1589</v>
      </c>
      <c r="F587" s="3" t="s">
        <v>3065</v>
      </c>
      <c r="G587" s="3" t="s">
        <v>1591</v>
      </c>
      <c r="H587" s="3" t="s">
        <v>1592</v>
      </c>
      <c r="I587" s="3" t="s">
        <v>2419</v>
      </c>
      <c r="J587" s="4">
        <v>0</v>
      </c>
      <c r="K587" s="4">
        <v>0</v>
      </c>
      <c r="L587" s="4">
        <v>0</v>
      </c>
      <c r="M587" s="4">
        <v>0</v>
      </c>
      <c r="N587" s="5">
        <v>0</v>
      </c>
      <c r="O587" s="5">
        <v>0</v>
      </c>
      <c r="P587" s="5">
        <v>0</v>
      </c>
      <c r="Q587" s="5">
        <v>0</v>
      </c>
      <c r="R587" s="5">
        <f>956077-12855</f>
        <v>943222</v>
      </c>
      <c r="S587" s="5">
        <v>0</v>
      </c>
      <c r="T587" s="5">
        <f t="shared" si="81"/>
        <v>943222</v>
      </c>
      <c r="U587" s="5" t="s">
        <v>2540</v>
      </c>
      <c r="V587" s="5">
        <v>0</v>
      </c>
      <c r="W587" s="5">
        <v>0</v>
      </c>
      <c r="X587" s="5">
        <v>0</v>
      </c>
      <c r="Y587" s="5">
        <v>943222</v>
      </c>
      <c r="Z587" s="5">
        <f t="shared" si="82"/>
        <v>943222</v>
      </c>
      <c r="AA587" s="20">
        <f t="shared" si="83"/>
        <v>0</v>
      </c>
    </row>
    <row r="588" spans="1:27" ht="12.75">
      <c r="A588" s="3" t="s">
        <v>1668</v>
      </c>
      <c r="B588" s="3" t="s">
        <v>3061</v>
      </c>
      <c r="C588" s="3" t="s">
        <v>3062</v>
      </c>
      <c r="D588" s="3" t="s">
        <v>3066</v>
      </c>
      <c r="E588" s="3" t="s">
        <v>1589</v>
      </c>
      <c r="F588" s="3" t="s">
        <v>3068</v>
      </c>
      <c r="G588" s="3" t="s">
        <v>1591</v>
      </c>
      <c r="H588" s="3" t="s">
        <v>1592</v>
      </c>
      <c r="I588" s="3" t="s">
        <v>2420</v>
      </c>
      <c r="J588" s="4">
        <v>0</v>
      </c>
      <c r="K588" s="4">
        <v>0</v>
      </c>
      <c r="L588" s="4">
        <v>0</v>
      </c>
      <c r="M588" s="4">
        <v>0</v>
      </c>
      <c r="N588" s="5">
        <v>0</v>
      </c>
      <c r="O588" s="5">
        <v>0</v>
      </c>
      <c r="P588" s="5">
        <v>0</v>
      </c>
      <c r="Q588" s="5">
        <v>0</v>
      </c>
      <c r="R588" s="5">
        <v>8520</v>
      </c>
      <c r="S588" s="5">
        <v>0</v>
      </c>
      <c r="T588" s="5">
        <f t="shared" si="81"/>
        <v>8520</v>
      </c>
      <c r="U588" s="5">
        <f>SUM(S588:S588)</f>
        <v>0</v>
      </c>
      <c r="V588" s="5">
        <v>0</v>
      </c>
      <c r="W588" s="5">
        <v>0</v>
      </c>
      <c r="X588" s="5">
        <v>0</v>
      </c>
      <c r="Y588" s="5">
        <v>8520</v>
      </c>
      <c r="Z588" s="5">
        <f t="shared" si="82"/>
        <v>8520</v>
      </c>
      <c r="AA588" s="20">
        <f t="shared" si="83"/>
        <v>0</v>
      </c>
    </row>
    <row r="589" spans="1:27" ht="12.75">
      <c r="A589" s="3" t="s">
        <v>1584</v>
      </c>
      <c r="B589" s="3" t="s">
        <v>3061</v>
      </c>
      <c r="C589" s="3" t="s">
        <v>3062</v>
      </c>
      <c r="D589" s="3" t="s">
        <v>3069</v>
      </c>
      <c r="E589" s="3" t="s">
        <v>1589</v>
      </c>
      <c r="F589" s="3" t="s">
        <v>3071</v>
      </c>
      <c r="G589" s="3" t="s">
        <v>1591</v>
      </c>
      <c r="H589" s="3" t="s">
        <v>1592</v>
      </c>
      <c r="I589" s="3" t="s">
        <v>3070</v>
      </c>
      <c r="J589" s="4">
        <v>0</v>
      </c>
      <c r="K589" s="4">
        <v>0</v>
      </c>
      <c r="L589" s="4">
        <v>0</v>
      </c>
      <c r="M589" s="4">
        <v>0</v>
      </c>
      <c r="N589" s="5">
        <v>0</v>
      </c>
      <c r="O589" s="5">
        <v>0</v>
      </c>
      <c r="P589" s="5">
        <v>0</v>
      </c>
      <c r="Q589" s="5">
        <v>0</v>
      </c>
      <c r="R589" s="5">
        <v>0</v>
      </c>
      <c r="S589" s="5">
        <v>0</v>
      </c>
      <c r="T589" s="5">
        <f t="shared" si="81"/>
        <v>0</v>
      </c>
      <c r="U589" s="5">
        <v>16370</v>
      </c>
      <c r="V589" s="5">
        <v>0</v>
      </c>
      <c r="W589" s="5">
        <v>0</v>
      </c>
      <c r="X589" s="5">
        <v>0</v>
      </c>
      <c r="Y589" s="5">
        <v>16370</v>
      </c>
      <c r="Z589" s="5">
        <f t="shared" si="82"/>
        <v>16370</v>
      </c>
      <c r="AA589" s="20">
        <f t="shared" si="83"/>
        <v>0</v>
      </c>
    </row>
    <row r="590" spans="1:27" ht="12.75">
      <c r="A590" s="3" t="s">
        <v>1668</v>
      </c>
      <c r="B590" s="3" t="s">
        <v>3061</v>
      </c>
      <c r="C590" s="3" t="s">
        <v>3062</v>
      </c>
      <c r="D590" s="3" t="s">
        <v>3072</v>
      </c>
      <c r="E590" s="3" t="s">
        <v>3074</v>
      </c>
      <c r="F590" s="3" t="s">
        <v>3075</v>
      </c>
      <c r="G590" s="3" t="s">
        <v>1591</v>
      </c>
      <c r="H590" s="3" t="s">
        <v>1592</v>
      </c>
      <c r="I590" s="3" t="s">
        <v>3073</v>
      </c>
      <c r="J590" s="4">
        <v>0</v>
      </c>
      <c r="K590" s="4">
        <v>0</v>
      </c>
      <c r="L590" s="4">
        <v>0</v>
      </c>
      <c r="M590" s="4">
        <v>0</v>
      </c>
      <c r="N590" s="5">
        <v>0</v>
      </c>
      <c r="O590" s="5">
        <v>0</v>
      </c>
      <c r="P590" s="5">
        <v>0</v>
      </c>
      <c r="Q590" s="5">
        <v>0</v>
      </c>
      <c r="R590" s="5">
        <v>198989</v>
      </c>
      <c r="S590" s="5">
        <v>0</v>
      </c>
      <c r="T590" s="5">
        <f t="shared" si="81"/>
        <v>198989</v>
      </c>
      <c r="U590" s="5">
        <f>SUM(S590:S590)</f>
        <v>0</v>
      </c>
      <c r="V590" s="5">
        <v>0</v>
      </c>
      <c r="W590" s="5">
        <v>0</v>
      </c>
      <c r="X590" s="5">
        <v>0</v>
      </c>
      <c r="Y590" s="5">
        <v>198989</v>
      </c>
      <c r="Z590" s="5">
        <f t="shared" si="82"/>
        <v>198989</v>
      </c>
      <c r="AA590" s="20">
        <f t="shared" si="83"/>
        <v>0</v>
      </c>
    </row>
    <row r="591" spans="1:27" ht="12.75">
      <c r="A591" s="3" t="s">
        <v>1668</v>
      </c>
      <c r="B591" s="3" t="s">
        <v>3061</v>
      </c>
      <c r="C591" s="3" t="s">
        <v>3062</v>
      </c>
      <c r="D591" s="3" t="s">
        <v>3076</v>
      </c>
      <c r="E591" s="3" t="s">
        <v>1589</v>
      </c>
      <c r="F591" s="3" t="s">
        <v>3078</v>
      </c>
      <c r="G591" s="3" t="s">
        <v>1591</v>
      </c>
      <c r="H591" s="3" t="s">
        <v>1592</v>
      </c>
      <c r="I591" s="3" t="s">
        <v>3077</v>
      </c>
      <c r="J591" s="4">
        <v>0</v>
      </c>
      <c r="K591" s="4">
        <v>0</v>
      </c>
      <c r="L591" s="4">
        <v>0</v>
      </c>
      <c r="M591" s="4">
        <v>0</v>
      </c>
      <c r="N591" s="5">
        <v>0</v>
      </c>
      <c r="O591" s="5">
        <v>12855</v>
      </c>
      <c r="P591" s="5">
        <v>0</v>
      </c>
      <c r="Q591" s="5">
        <v>0</v>
      </c>
      <c r="R591" s="5">
        <v>7200</v>
      </c>
      <c r="S591" s="5">
        <v>0</v>
      </c>
      <c r="T591" s="5">
        <f t="shared" si="81"/>
        <v>20055</v>
      </c>
      <c r="U591" s="5">
        <f>SUM(S591:S591)</f>
        <v>0</v>
      </c>
      <c r="V591" s="5">
        <v>0</v>
      </c>
      <c r="W591" s="5">
        <v>0</v>
      </c>
      <c r="X591" s="5">
        <v>0</v>
      </c>
      <c r="Y591" s="5">
        <v>20055</v>
      </c>
      <c r="Z591" s="5">
        <f t="shared" si="82"/>
        <v>20055</v>
      </c>
      <c r="AA591" s="20">
        <f t="shared" si="83"/>
        <v>0</v>
      </c>
    </row>
    <row r="592" spans="1:27" ht="12.75">
      <c r="A592" s="3" t="s">
        <v>1584</v>
      </c>
      <c r="B592" s="3" t="s">
        <v>3061</v>
      </c>
      <c r="C592" s="3" t="s">
        <v>3062</v>
      </c>
      <c r="D592" s="3" t="s">
        <v>3079</v>
      </c>
      <c r="E592" s="3" t="s">
        <v>1589</v>
      </c>
      <c r="F592" s="3" t="s">
        <v>3081</v>
      </c>
      <c r="G592" s="3" t="s">
        <v>1591</v>
      </c>
      <c r="H592" s="3" t="s">
        <v>1592</v>
      </c>
      <c r="I592" s="3" t="s">
        <v>2421</v>
      </c>
      <c r="J592" s="4">
        <v>1</v>
      </c>
      <c r="K592" s="4">
        <v>0</v>
      </c>
      <c r="L592" s="4">
        <v>1.418</v>
      </c>
      <c r="M592" s="4">
        <v>0</v>
      </c>
      <c r="N592" s="5">
        <v>75432</v>
      </c>
      <c r="O592" s="5">
        <v>0</v>
      </c>
      <c r="P592" s="5">
        <v>1217</v>
      </c>
      <c r="Q592" s="5">
        <v>0</v>
      </c>
      <c r="R592" s="5">
        <v>0</v>
      </c>
      <c r="S592" s="5">
        <v>0</v>
      </c>
      <c r="T592" s="5">
        <f t="shared" si="81"/>
        <v>76649</v>
      </c>
      <c r="U592" s="5">
        <v>9098</v>
      </c>
      <c r="V592" s="5">
        <v>0</v>
      </c>
      <c r="W592" s="5">
        <v>0</v>
      </c>
      <c r="X592" s="5">
        <v>1000</v>
      </c>
      <c r="Y592" s="5">
        <v>86747</v>
      </c>
      <c r="Z592" s="5">
        <f t="shared" si="82"/>
        <v>86747</v>
      </c>
      <c r="AA592" s="20">
        <f t="shared" si="83"/>
        <v>0</v>
      </c>
    </row>
    <row r="593" spans="1:27" ht="12.75">
      <c r="A593" s="3" t="s">
        <v>1584</v>
      </c>
      <c r="B593" s="3" t="s">
        <v>3061</v>
      </c>
      <c r="C593" s="3" t="s">
        <v>3062</v>
      </c>
      <c r="D593" s="3" t="s">
        <v>3082</v>
      </c>
      <c r="E593" s="3" t="s">
        <v>1589</v>
      </c>
      <c r="F593" s="3" t="s">
        <v>3084</v>
      </c>
      <c r="G593" s="3" t="s">
        <v>1591</v>
      </c>
      <c r="H593" s="3" t="s">
        <v>1592</v>
      </c>
      <c r="I593" s="3" t="s">
        <v>3083</v>
      </c>
      <c r="J593" s="4">
        <v>1</v>
      </c>
      <c r="K593" s="4">
        <v>0</v>
      </c>
      <c r="L593" s="4">
        <v>17</v>
      </c>
      <c r="M593" s="4">
        <v>0</v>
      </c>
      <c r="N593" s="5">
        <v>457800</v>
      </c>
      <c r="O593" s="5">
        <v>0</v>
      </c>
      <c r="P593" s="5">
        <v>59632</v>
      </c>
      <c r="Q593" s="5">
        <v>0</v>
      </c>
      <c r="R593" s="5">
        <v>0</v>
      </c>
      <c r="S593" s="5">
        <v>0</v>
      </c>
      <c r="T593" s="5">
        <f t="shared" si="81"/>
        <v>517432</v>
      </c>
      <c r="U593" s="5">
        <v>141079</v>
      </c>
      <c r="V593" s="5">
        <v>0</v>
      </c>
      <c r="W593" s="5">
        <v>0</v>
      </c>
      <c r="X593" s="5">
        <v>0</v>
      </c>
      <c r="Y593" s="5">
        <v>658511</v>
      </c>
      <c r="Z593" s="5">
        <f t="shared" si="82"/>
        <v>658511</v>
      </c>
      <c r="AA593" s="20">
        <f aca="true" t="shared" si="87" ref="AA593:AA625">+Y593-Z593</f>
        <v>0</v>
      </c>
    </row>
    <row r="594" spans="1:27" ht="12.75">
      <c r="A594" s="3" t="s">
        <v>1584</v>
      </c>
      <c r="B594" s="3" t="s">
        <v>3061</v>
      </c>
      <c r="C594" s="3" t="s">
        <v>3062</v>
      </c>
      <c r="D594" s="3" t="s">
        <v>3085</v>
      </c>
      <c r="E594" s="3" t="s">
        <v>1589</v>
      </c>
      <c r="F594" s="3" t="s">
        <v>3087</v>
      </c>
      <c r="G594" s="3" t="s">
        <v>1591</v>
      </c>
      <c r="H594" s="3" t="s">
        <v>1592</v>
      </c>
      <c r="I594" s="3" t="s">
        <v>3086</v>
      </c>
      <c r="J594" s="4">
        <v>0</v>
      </c>
      <c r="K594" s="4">
        <v>0</v>
      </c>
      <c r="L594" s="4">
        <v>0</v>
      </c>
      <c r="M594" s="4">
        <v>0</v>
      </c>
      <c r="N594" s="5">
        <v>0</v>
      </c>
      <c r="O594" s="5">
        <v>0</v>
      </c>
      <c r="P594" s="5">
        <v>0</v>
      </c>
      <c r="Q594" s="5">
        <v>0</v>
      </c>
      <c r="R594" s="5">
        <v>0</v>
      </c>
      <c r="S594" s="5">
        <v>0</v>
      </c>
      <c r="T594" s="5">
        <f t="shared" si="81"/>
        <v>0</v>
      </c>
      <c r="U594" s="5">
        <v>17330</v>
      </c>
      <c r="V594" s="5">
        <v>0</v>
      </c>
      <c r="W594" s="5">
        <v>0</v>
      </c>
      <c r="X594" s="5">
        <v>0</v>
      </c>
      <c r="Y594" s="5">
        <v>17330</v>
      </c>
      <c r="Z594" s="5">
        <f t="shared" si="82"/>
        <v>17330</v>
      </c>
      <c r="AA594" s="20">
        <f t="shared" si="87"/>
        <v>0</v>
      </c>
    </row>
    <row r="595" spans="1:27" ht="12.75">
      <c r="A595" s="3" t="s">
        <v>1584</v>
      </c>
      <c r="B595" s="3" t="s">
        <v>3061</v>
      </c>
      <c r="C595" s="3" t="s">
        <v>3062</v>
      </c>
      <c r="D595" s="3" t="s">
        <v>3088</v>
      </c>
      <c r="E595" s="3" t="s">
        <v>1589</v>
      </c>
      <c r="F595" s="3" t="s">
        <v>3090</v>
      </c>
      <c r="G595" s="3" t="s">
        <v>1591</v>
      </c>
      <c r="H595" s="3" t="s">
        <v>1592</v>
      </c>
      <c r="I595" s="3" t="s">
        <v>3089</v>
      </c>
      <c r="J595" s="4">
        <v>1</v>
      </c>
      <c r="K595" s="4">
        <v>0</v>
      </c>
      <c r="L595" s="4">
        <v>2.525</v>
      </c>
      <c r="M595" s="4">
        <v>0</v>
      </c>
      <c r="N595" s="5">
        <v>141864</v>
      </c>
      <c r="O595" s="5">
        <v>0</v>
      </c>
      <c r="P595" s="5">
        <v>3226</v>
      </c>
      <c r="Q595" s="5">
        <v>0</v>
      </c>
      <c r="R595" s="5">
        <v>0</v>
      </c>
      <c r="S595" s="5">
        <v>0</v>
      </c>
      <c r="T595" s="5">
        <f aca="true" t="shared" si="88" ref="T595:T661">SUM(N595:R595)</f>
        <v>145090</v>
      </c>
      <c r="U595" s="5">
        <v>4422</v>
      </c>
      <c r="V595" s="5">
        <v>0</v>
      </c>
      <c r="W595" s="5">
        <v>0</v>
      </c>
      <c r="X595" s="5">
        <v>0</v>
      </c>
      <c r="Y595" s="5">
        <v>149512</v>
      </c>
      <c r="Z595" s="5">
        <f aca="true" t="shared" si="89" ref="Z595:Z661">SUM(T595:X595)</f>
        <v>149512</v>
      </c>
      <c r="AA595" s="20">
        <f t="shared" si="87"/>
        <v>0</v>
      </c>
    </row>
    <row r="596" spans="1:27" ht="12.75">
      <c r="A596" s="3" t="s">
        <v>1584</v>
      </c>
      <c r="B596" s="3" t="s">
        <v>3061</v>
      </c>
      <c r="C596" s="3" t="s">
        <v>3062</v>
      </c>
      <c r="D596" s="3" t="s">
        <v>3091</v>
      </c>
      <c r="E596" s="3" t="s">
        <v>1589</v>
      </c>
      <c r="F596" s="3" t="s">
        <v>3093</v>
      </c>
      <c r="G596" s="3" t="s">
        <v>1591</v>
      </c>
      <c r="H596" s="3" t="s">
        <v>1592</v>
      </c>
      <c r="I596" s="3" t="s">
        <v>3092</v>
      </c>
      <c r="J596" s="4">
        <v>1</v>
      </c>
      <c r="K596" s="4">
        <v>0</v>
      </c>
      <c r="L596" s="4">
        <v>17</v>
      </c>
      <c r="M596" s="4">
        <v>0</v>
      </c>
      <c r="N596" s="5">
        <v>478680</v>
      </c>
      <c r="O596" s="5">
        <v>0</v>
      </c>
      <c r="P596" s="5">
        <v>2864</v>
      </c>
      <c r="Q596" s="5">
        <v>0</v>
      </c>
      <c r="R596" s="5">
        <v>0</v>
      </c>
      <c r="S596" s="5">
        <v>0</v>
      </c>
      <c r="T596" s="5">
        <f t="shared" si="88"/>
        <v>481544</v>
      </c>
      <c r="U596" s="5">
        <v>48199</v>
      </c>
      <c r="V596" s="5">
        <v>0</v>
      </c>
      <c r="W596" s="5">
        <v>0</v>
      </c>
      <c r="X596" s="5">
        <v>500</v>
      </c>
      <c r="Y596" s="5">
        <v>530243</v>
      </c>
      <c r="Z596" s="5">
        <f t="shared" si="89"/>
        <v>530243</v>
      </c>
      <c r="AA596" s="20">
        <f t="shared" si="87"/>
        <v>0</v>
      </c>
    </row>
    <row r="597" spans="1:27" ht="12.75">
      <c r="A597" s="3" t="s">
        <v>1584</v>
      </c>
      <c r="B597" s="3" t="s">
        <v>3061</v>
      </c>
      <c r="C597" s="3" t="s">
        <v>3062</v>
      </c>
      <c r="D597" s="3" t="s">
        <v>3094</v>
      </c>
      <c r="E597" s="3" t="s">
        <v>1589</v>
      </c>
      <c r="F597" s="3" t="s">
        <v>3102</v>
      </c>
      <c r="G597" s="3" t="s">
        <v>1591</v>
      </c>
      <c r="H597" s="3" t="s">
        <v>1592</v>
      </c>
      <c r="I597" s="3" t="s">
        <v>3101</v>
      </c>
      <c r="J597" s="4">
        <v>1</v>
      </c>
      <c r="K597" s="4">
        <v>0</v>
      </c>
      <c r="L597" s="4">
        <v>4</v>
      </c>
      <c r="M597" s="4">
        <v>0</v>
      </c>
      <c r="N597" s="5">
        <v>193584</v>
      </c>
      <c r="O597" s="5">
        <v>0</v>
      </c>
      <c r="P597" s="5">
        <v>59596</v>
      </c>
      <c r="Q597" s="5">
        <v>8667</v>
      </c>
      <c r="R597" s="5">
        <v>0</v>
      </c>
      <c r="S597" s="5">
        <v>0</v>
      </c>
      <c r="T597" s="5">
        <f t="shared" si="88"/>
        <v>261847</v>
      </c>
      <c r="U597" s="5">
        <v>10581</v>
      </c>
      <c r="V597" s="5">
        <v>0</v>
      </c>
      <c r="W597" s="5">
        <v>0</v>
      </c>
      <c r="X597" s="5">
        <v>0</v>
      </c>
      <c r="Y597" s="5">
        <v>272428</v>
      </c>
      <c r="Z597" s="5">
        <f t="shared" si="89"/>
        <v>272428</v>
      </c>
      <c r="AA597" s="20">
        <f t="shared" si="87"/>
        <v>0</v>
      </c>
    </row>
    <row r="598" spans="1:27" ht="12.75">
      <c r="A598" s="3" t="s">
        <v>1751</v>
      </c>
      <c r="B598" s="3" t="s">
        <v>3061</v>
      </c>
      <c r="C598" s="3" t="s">
        <v>3062</v>
      </c>
      <c r="D598" s="3" t="s">
        <v>3103</v>
      </c>
      <c r="E598" s="3" t="s">
        <v>1589</v>
      </c>
      <c r="F598" s="3" t="s">
        <v>3105</v>
      </c>
      <c r="G598" s="3" t="s">
        <v>1591</v>
      </c>
      <c r="H598" s="3" t="s">
        <v>1592</v>
      </c>
      <c r="I598" s="3" t="s">
        <v>3104</v>
      </c>
      <c r="J598" s="4">
        <v>0</v>
      </c>
      <c r="K598" s="4">
        <v>0</v>
      </c>
      <c r="L598" s="4">
        <v>0</v>
      </c>
      <c r="M598" s="4">
        <v>0</v>
      </c>
      <c r="N598" s="5">
        <v>0</v>
      </c>
      <c r="O598" s="5">
        <v>0</v>
      </c>
      <c r="P598" s="5">
        <v>0</v>
      </c>
      <c r="Q598" s="5">
        <v>0</v>
      </c>
      <c r="R598" s="5">
        <v>0</v>
      </c>
      <c r="S598" s="5">
        <v>0</v>
      </c>
      <c r="T598" s="5">
        <f t="shared" si="88"/>
        <v>0</v>
      </c>
      <c r="U598" s="5">
        <f>SUM(S598:S598)</f>
        <v>0</v>
      </c>
      <c r="V598" s="5">
        <v>0</v>
      </c>
      <c r="W598" s="5">
        <v>0</v>
      </c>
      <c r="X598" s="5">
        <v>58000</v>
      </c>
      <c r="Y598" s="5">
        <v>58000</v>
      </c>
      <c r="Z598" s="5">
        <f t="shared" si="89"/>
        <v>58000</v>
      </c>
      <c r="AA598" s="20">
        <f t="shared" si="87"/>
        <v>0</v>
      </c>
    </row>
    <row r="599" spans="1:27" ht="12.75">
      <c r="A599" s="3" t="s">
        <v>1584</v>
      </c>
      <c r="B599" s="3" t="s">
        <v>3061</v>
      </c>
      <c r="C599" s="3" t="s">
        <v>3062</v>
      </c>
      <c r="D599" s="3" t="s">
        <v>3106</v>
      </c>
      <c r="E599" s="3" t="s">
        <v>1589</v>
      </c>
      <c r="F599" s="3" t="s">
        <v>3108</v>
      </c>
      <c r="G599" s="3" t="s">
        <v>1591</v>
      </c>
      <c r="H599" s="3" t="s">
        <v>1592</v>
      </c>
      <c r="I599" s="3" t="s">
        <v>3107</v>
      </c>
      <c r="J599" s="4">
        <v>0</v>
      </c>
      <c r="K599" s="4">
        <v>0</v>
      </c>
      <c r="L599" s="4">
        <v>1</v>
      </c>
      <c r="M599" s="4">
        <v>0</v>
      </c>
      <c r="N599" s="5">
        <v>25356</v>
      </c>
      <c r="O599" s="5">
        <v>0</v>
      </c>
      <c r="P599" s="5">
        <v>500</v>
      </c>
      <c r="Q599" s="5">
        <v>0</v>
      </c>
      <c r="R599" s="5">
        <v>0</v>
      </c>
      <c r="S599" s="5">
        <v>0</v>
      </c>
      <c r="T599" s="5">
        <f t="shared" si="88"/>
        <v>25856</v>
      </c>
      <c r="U599" s="5">
        <v>2659</v>
      </c>
      <c r="V599" s="5">
        <v>0</v>
      </c>
      <c r="W599" s="5">
        <v>0</v>
      </c>
      <c r="X599" s="5">
        <v>100</v>
      </c>
      <c r="Y599" s="5">
        <v>28615</v>
      </c>
      <c r="Z599" s="5">
        <f t="shared" si="89"/>
        <v>28615</v>
      </c>
      <c r="AA599" s="20">
        <f t="shared" si="87"/>
        <v>0</v>
      </c>
    </row>
    <row r="600" spans="1:27" ht="12.75">
      <c r="A600" s="3" t="s">
        <v>2698</v>
      </c>
      <c r="B600" s="3" t="s">
        <v>3061</v>
      </c>
      <c r="C600" s="3" t="s">
        <v>3062</v>
      </c>
      <c r="D600" s="3" t="s">
        <v>3109</v>
      </c>
      <c r="E600" s="3" t="s">
        <v>1589</v>
      </c>
      <c r="F600" s="3" t="s">
        <v>3111</v>
      </c>
      <c r="G600" s="3" t="s">
        <v>1591</v>
      </c>
      <c r="H600" s="3" t="s">
        <v>1592</v>
      </c>
      <c r="I600" s="3" t="s">
        <v>3110</v>
      </c>
      <c r="J600" s="4">
        <v>0</v>
      </c>
      <c r="K600" s="4">
        <v>0</v>
      </c>
      <c r="L600" s="4">
        <v>0</v>
      </c>
      <c r="M600" s="4">
        <v>0</v>
      </c>
      <c r="N600" s="5">
        <v>0</v>
      </c>
      <c r="O600" s="5">
        <v>0</v>
      </c>
      <c r="P600" s="5">
        <v>0</v>
      </c>
      <c r="Q600" s="5">
        <v>0</v>
      </c>
      <c r="R600" s="5">
        <v>0</v>
      </c>
      <c r="S600" s="5">
        <v>0</v>
      </c>
      <c r="T600" s="5">
        <f t="shared" si="88"/>
        <v>0</v>
      </c>
      <c r="U600" s="5">
        <v>6985</v>
      </c>
      <c r="V600" s="5">
        <v>0</v>
      </c>
      <c r="W600" s="5">
        <v>0</v>
      </c>
      <c r="X600" s="5">
        <v>0</v>
      </c>
      <c r="Y600" s="5">
        <v>6985</v>
      </c>
      <c r="Z600" s="5">
        <f t="shared" si="89"/>
        <v>6985</v>
      </c>
      <c r="AA600" s="20">
        <f t="shared" si="87"/>
        <v>0</v>
      </c>
    </row>
    <row r="601" spans="1:27" ht="12.75">
      <c r="A601" s="3" t="s">
        <v>1852</v>
      </c>
      <c r="B601" s="3" t="s">
        <v>3061</v>
      </c>
      <c r="C601" s="3" t="s">
        <v>3062</v>
      </c>
      <c r="D601" s="3" t="s">
        <v>3112</v>
      </c>
      <c r="E601" s="3" t="s">
        <v>1589</v>
      </c>
      <c r="F601" s="3" t="s">
        <v>3114</v>
      </c>
      <c r="G601" s="3" t="s">
        <v>1591</v>
      </c>
      <c r="H601" s="3" t="s">
        <v>1592</v>
      </c>
      <c r="I601" s="3" t="s">
        <v>2422</v>
      </c>
      <c r="J601" s="4">
        <v>0</v>
      </c>
      <c r="K601" s="4">
        <v>0</v>
      </c>
      <c r="L601" s="4">
        <v>3</v>
      </c>
      <c r="M601" s="4">
        <v>0</v>
      </c>
      <c r="N601" s="5">
        <v>75960</v>
      </c>
      <c r="O601" s="5">
        <v>0</v>
      </c>
      <c r="P601" s="5">
        <v>4500</v>
      </c>
      <c r="Q601" s="5">
        <v>0</v>
      </c>
      <c r="R601" s="5">
        <v>0</v>
      </c>
      <c r="S601" s="5">
        <v>0</v>
      </c>
      <c r="T601" s="5">
        <f t="shared" si="88"/>
        <v>80460</v>
      </c>
      <c r="U601" s="5">
        <v>8000</v>
      </c>
      <c r="V601" s="5">
        <v>0</v>
      </c>
      <c r="W601" s="5">
        <v>0</v>
      </c>
      <c r="X601" s="5">
        <v>0</v>
      </c>
      <c r="Y601" s="5">
        <v>88460</v>
      </c>
      <c r="Z601" s="5">
        <f t="shared" si="89"/>
        <v>88460</v>
      </c>
      <c r="AA601" s="20">
        <f t="shared" si="87"/>
        <v>0</v>
      </c>
    </row>
    <row r="602" spans="1:27" ht="12.75">
      <c r="A602" s="3" t="s">
        <v>1842</v>
      </c>
      <c r="B602" s="3" t="s">
        <v>3061</v>
      </c>
      <c r="C602" s="3" t="s">
        <v>3062</v>
      </c>
      <c r="D602" s="3" t="s">
        <v>3115</v>
      </c>
      <c r="E602" s="3" t="s">
        <v>1589</v>
      </c>
      <c r="F602" s="3" t="s">
        <v>3117</v>
      </c>
      <c r="G602" s="3" t="s">
        <v>1591</v>
      </c>
      <c r="H602" s="3" t="s">
        <v>1592</v>
      </c>
      <c r="I602" s="3" t="s">
        <v>3116</v>
      </c>
      <c r="J602" s="4">
        <v>0</v>
      </c>
      <c r="K602" s="4">
        <v>0</v>
      </c>
      <c r="L602" s="4">
        <v>0</v>
      </c>
      <c r="M602" s="4">
        <v>0</v>
      </c>
      <c r="N602" s="5">
        <v>0</v>
      </c>
      <c r="O602" s="5">
        <v>0</v>
      </c>
      <c r="P602" s="5">
        <v>0</v>
      </c>
      <c r="Q602" s="5">
        <v>0</v>
      </c>
      <c r="R602" s="5">
        <v>0</v>
      </c>
      <c r="S602" s="5">
        <v>0</v>
      </c>
      <c r="T602" s="5">
        <f t="shared" si="88"/>
        <v>0</v>
      </c>
      <c r="U602" s="5">
        <v>2575</v>
      </c>
      <c r="V602" s="5">
        <v>0</v>
      </c>
      <c r="W602" s="5">
        <v>0</v>
      </c>
      <c r="X602" s="5">
        <v>0</v>
      </c>
      <c r="Y602" s="5">
        <v>2575</v>
      </c>
      <c r="Z602" s="5">
        <f t="shared" si="89"/>
        <v>2575</v>
      </c>
      <c r="AA602" s="20">
        <f t="shared" si="87"/>
        <v>0</v>
      </c>
    </row>
    <row r="603" spans="1:27" ht="12.75">
      <c r="A603" s="3" t="s">
        <v>1699</v>
      </c>
      <c r="B603" s="3" t="s">
        <v>3061</v>
      </c>
      <c r="C603" s="3" t="s">
        <v>3062</v>
      </c>
      <c r="D603" s="3" t="s">
        <v>3118</v>
      </c>
      <c r="E603" s="3" t="s">
        <v>1589</v>
      </c>
      <c r="F603" s="3" t="s">
        <v>3120</v>
      </c>
      <c r="G603" s="3" t="s">
        <v>1591</v>
      </c>
      <c r="H603" s="3" t="s">
        <v>1592</v>
      </c>
      <c r="I603" s="3" t="s">
        <v>3119</v>
      </c>
      <c r="J603" s="4">
        <v>0</v>
      </c>
      <c r="K603" s="4">
        <v>0</v>
      </c>
      <c r="L603" s="4">
        <v>0</v>
      </c>
      <c r="M603" s="4">
        <v>0.75</v>
      </c>
      <c r="N603" s="5">
        <v>24588</v>
      </c>
      <c r="O603" s="5">
        <v>0</v>
      </c>
      <c r="P603" s="5">
        <v>0</v>
      </c>
      <c r="Q603" s="5">
        <v>0</v>
      </c>
      <c r="R603" s="5">
        <v>0</v>
      </c>
      <c r="S603" s="5">
        <v>0</v>
      </c>
      <c r="T603" s="5">
        <f t="shared" si="88"/>
        <v>24588</v>
      </c>
      <c r="U603" s="5">
        <v>33726</v>
      </c>
      <c r="V603" s="5">
        <v>0</v>
      </c>
      <c r="W603" s="5">
        <v>0</v>
      </c>
      <c r="X603" s="5">
        <v>15000</v>
      </c>
      <c r="Y603" s="5">
        <v>73314</v>
      </c>
      <c r="Z603" s="5">
        <f t="shared" si="89"/>
        <v>73314</v>
      </c>
      <c r="AA603" s="20">
        <f t="shared" si="87"/>
        <v>0</v>
      </c>
    </row>
    <row r="604" spans="1:27" ht="12.75">
      <c r="A604" s="3" t="s">
        <v>1751</v>
      </c>
      <c r="B604" s="3" t="s">
        <v>3061</v>
      </c>
      <c r="C604" s="3" t="s">
        <v>3062</v>
      </c>
      <c r="D604" s="3" t="s">
        <v>3121</v>
      </c>
      <c r="E604" s="3" t="s">
        <v>1589</v>
      </c>
      <c r="F604" s="3" t="s">
        <v>3123</v>
      </c>
      <c r="G604" s="3" t="s">
        <v>1591</v>
      </c>
      <c r="H604" s="3" t="s">
        <v>1592</v>
      </c>
      <c r="I604" s="3" t="s">
        <v>3122</v>
      </c>
      <c r="J604" s="4">
        <v>0</v>
      </c>
      <c r="K604" s="4">
        <v>0</v>
      </c>
      <c r="L604" s="4">
        <v>0</v>
      </c>
      <c r="M604" s="4">
        <v>0</v>
      </c>
      <c r="N604" s="5">
        <v>0</v>
      </c>
      <c r="O604" s="5">
        <v>0</v>
      </c>
      <c r="P604" s="5">
        <v>0</v>
      </c>
      <c r="Q604" s="5">
        <v>0</v>
      </c>
      <c r="R604" s="5">
        <v>0</v>
      </c>
      <c r="S604" s="5">
        <v>0</v>
      </c>
      <c r="T604" s="5">
        <f t="shared" si="88"/>
        <v>0</v>
      </c>
      <c r="U604" s="5">
        <v>6330</v>
      </c>
      <c r="V604" s="5">
        <v>0</v>
      </c>
      <c r="W604" s="5">
        <v>0</v>
      </c>
      <c r="X604" s="5">
        <v>0</v>
      </c>
      <c r="Y604" s="5">
        <v>6330</v>
      </c>
      <c r="Z604" s="5">
        <f t="shared" si="89"/>
        <v>6330</v>
      </c>
      <c r="AA604" s="20">
        <f t="shared" si="87"/>
        <v>0</v>
      </c>
    </row>
    <row r="605" spans="1:27" ht="12.75">
      <c r="A605" s="3" t="s">
        <v>1936</v>
      </c>
      <c r="B605" s="3" t="s">
        <v>3061</v>
      </c>
      <c r="C605" s="3" t="s">
        <v>3062</v>
      </c>
      <c r="D605" s="3" t="s">
        <v>3124</v>
      </c>
      <c r="E605" s="3" t="s">
        <v>1589</v>
      </c>
      <c r="F605" s="3" t="s">
        <v>3126</v>
      </c>
      <c r="G605" s="3" t="s">
        <v>1591</v>
      </c>
      <c r="H605" s="3" t="s">
        <v>1592</v>
      </c>
      <c r="I605" s="3" t="s">
        <v>3125</v>
      </c>
      <c r="J605" s="4">
        <v>0</v>
      </c>
      <c r="K605" s="4">
        <v>0</v>
      </c>
      <c r="L605" s="4">
        <v>0</v>
      </c>
      <c r="M605" s="4">
        <v>0</v>
      </c>
      <c r="N605" s="5">
        <v>0</v>
      </c>
      <c r="O605" s="5">
        <v>0</v>
      </c>
      <c r="P605" s="5">
        <v>0</v>
      </c>
      <c r="Q605" s="5">
        <v>0</v>
      </c>
      <c r="R605" s="5">
        <v>0</v>
      </c>
      <c r="S605" s="5">
        <v>0</v>
      </c>
      <c r="T605" s="5">
        <f t="shared" si="88"/>
        <v>0</v>
      </c>
      <c r="U605" s="5">
        <v>100000</v>
      </c>
      <c r="V605" s="5">
        <v>808060</v>
      </c>
      <c r="W605" s="5">
        <v>0</v>
      </c>
      <c r="X605" s="5">
        <v>0</v>
      </c>
      <c r="Y605" s="5">
        <v>908060</v>
      </c>
      <c r="Z605" s="5">
        <f t="shared" si="89"/>
        <v>908060</v>
      </c>
      <c r="AA605" s="20">
        <f t="shared" si="87"/>
        <v>0</v>
      </c>
    </row>
    <row r="606" spans="1:27" ht="12.75">
      <c r="A606" s="3" t="s">
        <v>1936</v>
      </c>
      <c r="B606" s="3" t="s">
        <v>3061</v>
      </c>
      <c r="C606" s="3" t="s">
        <v>3062</v>
      </c>
      <c r="D606" s="3" t="s">
        <v>3127</v>
      </c>
      <c r="E606" s="3" t="s">
        <v>1589</v>
      </c>
      <c r="F606" s="3" t="s">
        <v>3129</v>
      </c>
      <c r="G606" s="3" t="s">
        <v>1591</v>
      </c>
      <c r="H606" s="3" t="s">
        <v>1592</v>
      </c>
      <c r="I606" s="3" t="s">
        <v>2423</v>
      </c>
      <c r="J606" s="4">
        <v>0</v>
      </c>
      <c r="K606" s="4">
        <v>0</v>
      </c>
      <c r="L606" s="4">
        <v>0</v>
      </c>
      <c r="M606" s="4">
        <v>0</v>
      </c>
      <c r="N606" s="5">
        <v>0</v>
      </c>
      <c r="O606" s="5">
        <v>0</v>
      </c>
      <c r="P606" s="5">
        <v>0</v>
      </c>
      <c r="Q606" s="5">
        <v>0</v>
      </c>
      <c r="R606" s="5">
        <v>0</v>
      </c>
      <c r="S606" s="5">
        <v>0</v>
      </c>
      <c r="T606" s="5">
        <f t="shared" si="88"/>
        <v>0</v>
      </c>
      <c r="U606" s="5">
        <f>SUM(S606:S606)</f>
        <v>0</v>
      </c>
      <c r="V606" s="5">
        <v>360000</v>
      </c>
      <c r="W606" s="5">
        <v>0</v>
      </c>
      <c r="X606" s="5">
        <v>0</v>
      </c>
      <c r="Y606" s="5">
        <v>360000</v>
      </c>
      <c r="Z606" s="5">
        <f t="shared" si="89"/>
        <v>360000</v>
      </c>
      <c r="AA606" s="20">
        <f t="shared" si="87"/>
        <v>0</v>
      </c>
    </row>
    <row r="607" spans="1:27" ht="12.75">
      <c r="A607" s="3" t="s">
        <v>1584</v>
      </c>
      <c r="B607" s="3" t="s">
        <v>3061</v>
      </c>
      <c r="C607" s="3" t="s">
        <v>3062</v>
      </c>
      <c r="D607" s="3" t="s">
        <v>3130</v>
      </c>
      <c r="E607" s="3" t="s">
        <v>1589</v>
      </c>
      <c r="F607" s="3" t="s">
        <v>3132</v>
      </c>
      <c r="G607" s="3" t="s">
        <v>1591</v>
      </c>
      <c r="H607" s="3" t="s">
        <v>1592</v>
      </c>
      <c r="I607" s="3" t="s">
        <v>3131</v>
      </c>
      <c r="J607" s="4">
        <v>0</v>
      </c>
      <c r="K607" s="4">
        <v>0</v>
      </c>
      <c r="L607" s="4">
        <v>1</v>
      </c>
      <c r="M607" s="4">
        <v>0</v>
      </c>
      <c r="N607" s="5">
        <v>16560</v>
      </c>
      <c r="O607" s="5">
        <v>0</v>
      </c>
      <c r="P607" s="5">
        <v>0</v>
      </c>
      <c r="Q607" s="5">
        <v>0</v>
      </c>
      <c r="R607" s="5">
        <v>0</v>
      </c>
      <c r="S607" s="5">
        <v>0</v>
      </c>
      <c r="T607" s="5">
        <f t="shared" si="88"/>
        <v>16560</v>
      </c>
      <c r="U607" s="5">
        <f>SUM(S607:S607)</f>
        <v>0</v>
      </c>
      <c r="V607" s="5">
        <v>0</v>
      </c>
      <c r="W607" s="5">
        <v>0</v>
      </c>
      <c r="X607" s="5">
        <v>0</v>
      </c>
      <c r="Y607" s="5">
        <v>16560</v>
      </c>
      <c r="Z607" s="5">
        <f t="shared" si="89"/>
        <v>16560</v>
      </c>
      <c r="AA607" s="20">
        <f t="shared" si="87"/>
        <v>0</v>
      </c>
    </row>
    <row r="608" spans="1:27" ht="12.75">
      <c r="A608" s="3" t="s">
        <v>1584</v>
      </c>
      <c r="B608" s="3" t="s">
        <v>3061</v>
      </c>
      <c r="C608" s="3" t="s">
        <v>3062</v>
      </c>
      <c r="D608" s="3" t="s">
        <v>3133</v>
      </c>
      <c r="E608" s="3" t="s">
        <v>1589</v>
      </c>
      <c r="F608" s="3" t="s">
        <v>3135</v>
      </c>
      <c r="G608" s="3" t="s">
        <v>1591</v>
      </c>
      <c r="H608" s="3" t="s">
        <v>1592</v>
      </c>
      <c r="I608" s="3" t="s">
        <v>2424</v>
      </c>
      <c r="J608" s="4">
        <v>0</v>
      </c>
      <c r="K608" s="4">
        <v>0</v>
      </c>
      <c r="L608" s="4">
        <v>0</v>
      </c>
      <c r="M608" s="4">
        <v>0</v>
      </c>
      <c r="N608" s="5">
        <v>0</v>
      </c>
      <c r="O608" s="5">
        <v>0</v>
      </c>
      <c r="P608" s="5">
        <v>23750</v>
      </c>
      <c r="Q608" s="5">
        <v>0</v>
      </c>
      <c r="R608" s="5">
        <v>0</v>
      </c>
      <c r="S608" s="5">
        <v>0</v>
      </c>
      <c r="T608" s="5">
        <f t="shared" si="88"/>
        <v>23750</v>
      </c>
      <c r="U608" s="5">
        <v>69031</v>
      </c>
      <c r="V608" s="5">
        <v>0</v>
      </c>
      <c r="W608" s="5">
        <v>0</v>
      </c>
      <c r="X608" s="5">
        <v>0</v>
      </c>
      <c r="Y608" s="5">
        <v>92781</v>
      </c>
      <c r="Z608" s="5">
        <f t="shared" si="89"/>
        <v>92781</v>
      </c>
      <c r="AA608" s="20">
        <f t="shared" si="87"/>
        <v>0</v>
      </c>
    </row>
    <row r="609" spans="1:27" ht="12.75">
      <c r="A609" s="3" t="s">
        <v>1584</v>
      </c>
      <c r="B609" s="3" t="s">
        <v>3061</v>
      </c>
      <c r="C609" s="3" t="s">
        <v>3062</v>
      </c>
      <c r="D609" s="3" t="s">
        <v>3136</v>
      </c>
      <c r="E609" s="3" t="s">
        <v>1589</v>
      </c>
      <c r="F609" s="3" t="s">
        <v>3138</v>
      </c>
      <c r="G609" s="3" t="s">
        <v>1591</v>
      </c>
      <c r="H609" s="3" t="s">
        <v>1592</v>
      </c>
      <c r="I609" s="3" t="s">
        <v>3137</v>
      </c>
      <c r="J609" s="4">
        <v>0</v>
      </c>
      <c r="K609" s="4">
        <v>0</v>
      </c>
      <c r="L609" s="4">
        <v>0</v>
      </c>
      <c r="M609" s="4">
        <v>0</v>
      </c>
      <c r="N609" s="5">
        <v>0</v>
      </c>
      <c r="O609" s="5">
        <v>0</v>
      </c>
      <c r="P609" s="5">
        <v>9009</v>
      </c>
      <c r="Q609" s="5">
        <v>0</v>
      </c>
      <c r="R609" s="5">
        <v>0</v>
      </c>
      <c r="S609" s="5">
        <v>0</v>
      </c>
      <c r="T609" s="5">
        <f t="shared" si="88"/>
        <v>9009</v>
      </c>
      <c r="U609" s="5">
        <v>97791</v>
      </c>
      <c r="V609" s="5">
        <v>0</v>
      </c>
      <c r="W609" s="5">
        <v>0</v>
      </c>
      <c r="X609" s="5">
        <v>0</v>
      </c>
      <c r="Y609" s="5">
        <v>106800</v>
      </c>
      <c r="Z609" s="5">
        <f t="shared" si="89"/>
        <v>106800</v>
      </c>
      <c r="AA609" s="20">
        <f t="shared" si="87"/>
        <v>0</v>
      </c>
    </row>
    <row r="610" spans="1:27" ht="12.75">
      <c r="A610" s="3" t="s">
        <v>1584</v>
      </c>
      <c r="B610" s="3" t="s">
        <v>3061</v>
      </c>
      <c r="C610" s="3" t="s">
        <v>3062</v>
      </c>
      <c r="D610" s="3" t="s">
        <v>3139</v>
      </c>
      <c r="E610" s="3" t="s">
        <v>1589</v>
      </c>
      <c r="F610" s="3" t="s">
        <v>3141</v>
      </c>
      <c r="G610" s="3" t="s">
        <v>1591</v>
      </c>
      <c r="H610" s="3" t="s">
        <v>1592</v>
      </c>
      <c r="I610" s="3" t="s">
        <v>3140</v>
      </c>
      <c r="J610" s="4">
        <v>1</v>
      </c>
      <c r="K610" s="4">
        <v>0</v>
      </c>
      <c r="L610" s="4">
        <v>16</v>
      </c>
      <c r="M610" s="4">
        <v>0</v>
      </c>
      <c r="N610" s="5">
        <v>419304</v>
      </c>
      <c r="O610" s="5">
        <v>0</v>
      </c>
      <c r="P610" s="5">
        <v>0</v>
      </c>
      <c r="Q610" s="5">
        <v>0</v>
      </c>
      <c r="R610" s="5">
        <v>0</v>
      </c>
      <c r="S610" s="5">
        <v>0</v>
      </c>
      <c r="T610" s="5">
        <f t="shared" si="88"/>
        <v>419304</v>
      </c>
      <c r="U610" s="5">
        <v>191210</v>
      </c>
      <c r="V610" s="5">
        <v>0</v>
      </c>
      <c r="W610" s="5">
        <v>0</v>
      </c>
      <c r="X610" s="5">
        <v>0</v>
      </c>
      <c r="Y610" s="5">
        <v>610514</v>
      </c>
      <c r="Z610" s="5">
        <f t="shared" si="89"/>
        <v>610514</v>
      </c>
      <c r="AA610" s="20">
        <f t="shared" si="87"/>
        <v>0</v>
      </c>
    </row>
    <row r="611" spans="1:27" ht="12.75">
      <c r="A611" s="3" t="s">
        <v>1584</v>
      </c>
      <c r="B611" s="3" t="s">
        <v>3061</v>
      </c>
      <c r="C611" s="3" t="s">
        <v>3062</v>
      </c>
      <c r="D611" s="3" t="s">
        <v>3142</v>
      </c>
      <c r="E611" s="3" t="s">
        <v>1589</v>
      </c>
      <c r="F611" s="3" t="s">
        <v>3144</v>
      </c>
      <c r="G611" s="3" t="s">
        <v>1591</v>
      </c>
      <c r="H611" s="3" t="s">
        <v>1592</v>
      </c>
      <c r="I611" s="3" t="s">
        <v>3143</v>
      </c>
      <c r="J611" s="4">
        <v>0</v>
      </c>
      <c r="K611" s="4">
        <v>0</v>
      </c>
      <c r="L611" s="4">
        <v>0</v>
      </c>
      <c r="M611" s="4">
        <v>0</v>
      </c>
      <c r="N611" s="5">
        <v>0</v>
      </c>
      <c r="O611" s="5">
        <v>0</v>
      </c>
      <c r="P611" s="5">
        <v>1000</v>
      </c>
      <c r="Q611" s="5">
        <v>0</v>
      </c>
      <c r="R611" s="5">
        <v>0</v>
      </c>
      <c r="S611" s="5">
        <v>0</v>
      </c>
      <c r="T611" s="5">
        <f t="shared" si="88"/>
        <v>1000</v>
      </c>
      <c r="U611" s="5">
        <v>2700</v>
      </c>
      <c r="V611" s="5">
        <v>0</v>
      </c>
      <c r="W611" s="5">
        <v>0</v>
      </c>
      <c r="X611" s="5">
        <v>0</v>
      </c>
      <c r="Y611" s="5">
        <v>3700</v>
      </c>
      <c r="Z611" s="5">
        <f t="shared" si="89"/>
        <v>3700</v>
      </c>
      <c r="AA611" s="20">
        <f t="shared" si="87"/>
        <v>0</v>
      </c>
    </row>
    <row r="612" spans="1:27" ht="12.75">
      <c r="A612" s="3" t="s">
        <v>1584</v>
      </c>
      <c r="B612" s="3" t="s">
        <v>3061</v>
      </c>
      <c r="C612" s="3" t="s">
        <v>3062</v>
      </c>
      <c r="D612" s="3" t="s">
        <v>3145</v>
      </c>
      <c r="E612" s="3" t="s">
        <v>1589</v>
      </c>
      <c r="F612" s="3" t="s">
        <v>3147</v>
      </c>
      <c r="G612" s="3" t="s">
        <v>1591</v>
      </c>
      <c r="H612" s="3" t="s">
        <v>1592</v>
      </c>
      <c r="I612" s="3" t="s">
        <v>3146</v>
      </c>
      <c r="J612" s="4">
        <v>1</v>
      </c>
      <c r="K612" s="4">
        <v>0</v>
      </c>
      <c r="L612" s="4">
        <v>4</v>
      </c>
      <c r="M612" s="4">
        <v>0</v>
      </c>
      <c r="N612" s="5">
        <v>146940</v>
      </c>
      <c r="O612" s="5">
        <v>0</v>
      </c>
      <c r="P612" s="5">
        <v>16262</v>
      </c>
      <c r="Q612" s="5">
        <v>0</v>
      </c>
      <c r="R612" s="5">
        <v>0</v>
      </c>
      <c r="S612" s="5">
        <v>0</v>
      </c>
      <c r="T612" s="5">
        <f t="shared" si="88"/>
        <v>163202</v>
      </c>
      <c r="U612" s="5">
        <v>14254</v>
      </c>
      <c r="V612" s="5">
        <v>0</v>
      </c>
      <c r="W612" s="5">
        <v>0</v>
      </c>
      <c r="X612" s="5">
        <v>0</v>
      </c>
      <c r="Y612" s="5">
        <v>177456</v>
      </c>
      <c r="Z612" s="5">
        <f t="shared" si="89"/>
        <v>177456</v>
      </c>
      <c r="AA612" s="20">
        <f t="shared" si="87"/>
        <v>0</v>
      </c>
    </row>
    <row r="613" spans="1:27" ht="12.75">
      <c r="A613" s="3" t="s">
        <v>1584</v>
      </c>
      <c r="B613" s="3" t="s">
        <v>3061</v>
      </c>
      <c r="C613" s="3" t="s">
        <v>3062</v>
      </c>
      <c r="D613" s="3" t="s">
        <v>3148</v>
      </c>
      <c r="E613" s="3" t="s">
        <v>1589</v>
      </c>
      <c r="F613" s="3" t="s">
        <v>3150</v>
      </c>
      <c r="G613" s="3" t="s">
        <v>1591</v>
      </c>
      <c r="H613" s="3" t="s">
        <v>1592</v>
      </c>
      <c r="I613" s="3" t="s">
        <v>2425</v>
      </c>
      <c r="J613" s="4">
        <v>0</v>
      </c>
      <c r="K613" s="4">
        <v>0</v>
      </c>
      <c r="L613" s="4">
        <v>1</v>
      </c>
      <c r="M613" s="4">
        <v>0</v>
      </c>
      <c r="N613" s="5">
        <v>20256</v>
      </c>
      <c r="O613" s="5">
        <v>0</v>
      </c>
      <c r="P613" s="5">
        <v>1336</v>
      </c>
      <c r="Q613" s="5">
        <v>0</v>
      </c>
      <c r="R613" s="5">
        <v>0</v>
      </c>
      <c r="S613" s="5">
        <v>0</v>
      </c>
      <c r="T613" s="5">
        <f t="shared" si="88"/>
        <v>21592</v>
      </c>
      <c r="U613" s="5">
        <v>3500</v>
      </c>
      <c r="V613" s="5">
        <v>0</v>
      </c>
      <c r="W613" s="5">
        <v>0</v>
      </c>
      <c r="X613" s="5">
        <v>0</v>
      </c>
      <c r="Y613" s="5">
        <v>25092</v>
      </c>
      <c r="Z613" s="5">
        <f t="shared" si="89"/>
        <v>25092</v>
      </c>
      <c r="AA613" s="20">
        <f t="shared" si="87"/>
        <v>0</v>
      </c>
    </row>
    <row r="614" spans="1:27" ht="12.75">
      <c r="A614" s="3" t="s">
        <v>1584</v>
      </c>
      <c r="B614" s="3" t="s">
        <v>3061</v>
      </c>
      <c r="C614" s="3" t="s">
        <v>3062</v>
      </c>
      <c r="D614" s="3" t="s">
        <v>3151</v>
      </c>
      <c r="E614" s="3" t="s">
        <v>1589</v>
      </c>
      <c r="F614" s="3" t="s">
        <v>3153</v>
      </c>
      <c r="G614" s="3" t="s">
        <v>1591</v>
      </c>
      <c r="H614" s="3" t="s">
        <v>1592</v>
      </c>
      <c r="I614" s="3" t="s">
        <v>3152</v>
      </c>
      <c r="J614" s="4">
        <v>1</v>
      </c>
      <c r="K614" s="4">
        <v>0</v>
      </c>
      <c r="L614" s="4">
        <v>6</v>
      </c>
      <c r="M614" s="4">
        <v>0</v>
      </c>
      <c r="N614" s="5">
        <v>226320</v>
      </c>
      <c r="O614" s="5">
        <v>0</v>
      </c>
      <c r="P614" s="5">
        <v>8569</v>
      </c>
      <c r="Q614" s="5">
        <v>0</v>
      </c>
      <c r="R614" s="5">
        <v>0</v>
      </c>
      <c r="S614" s="5">
        <v>0</v>
      </c>
      <c r="T614" s="5">
        <f t="shared" si="88"/>
        <v>234889</v>
      </c>
      <c r="U614" s="5">
        <v>13066</v>
      </c>
      <c r="V614" s="5">
        <v>0</v>
      </c>
      <c r="W614" s="5">
        <v>0</v>
      </c>
      <c r="X614" s="5">
        <v>0</v>
      </c>
      <c r="Y614" s="5">
        <v>247955</v>
      </c>
      <c r="Z614" s="5">
        <f t="shared" si="89"/>
        <v>247955</v>
      </c>
      <c r="AA614" s="20">
        <f t="shared" si="87"/>
        <v>0</v>
      </c>
    </row>
    <row r="615" spans="1:27" ht="12.75">
      <c r="A615" s="3" t="s">
        <v>1584</v>
      </c>
      <c r="B615" s="3" t="s">
        <v>3061</v>
      </c>
      <c r="C615" s="3" t="s">
        <v>3062</v>
      </c>
      <c r="D615" s="3" t="s">
        <v>3154</v>
      </c>
      <c r="E615" s="3" t="s">
        <v>1589</v>
      </c>
      <c r="F615" s="3" t="s">
        <v>3156</v>
      </c>
      <c r="G615" s="3" t="s">
        <v>1591</v>
      </c>
      <c r="H615" s="3" t="s">
        <v>1592</v>
      </c>
      <c r="I615" s="3" t="s">
        <v>3155</v>
      </c>
      <c r="J615" s="4">
        <v>0</v>
      </c>
      <c r="K615" s="4">
        <v>0</v>
      </c>
      <c r="L615" s="4">
        <v>0.582</v>
      </c>
      <c r="M615" s="4">
        <v>0</v>
      </c>
      <c r="N615" s="5">
        <v>10848</v>
      </c>
      <c r="O615" s="5">
        <v>0</v>
      </c>
      <c r="P615" s="5">
        <v>504</v>
      </c>
      <c r="Q615" s="5">
        <v>0</v>
      </c>
      <c r="R615" s="5">
        <v>0</v>
      </c>
      <c r="S615" s="5">
        <v>0</v>
      </c>
      <c r="T615" s="5">
        <f t="shared" si="88"/>
        <v>11352</v>
      </c>
      <c r="U615" s="5">
        <v>4648</v>
      </c>
      <c r="V615" s="5">
        <v>0</v>
      </c>
      <c r="W615" s="5">
        <v>0</v>
      </c>
      <c r="X615" s="5">
        <v>0</v>
      </c>
      <c r="Y615" s="5">
        <v>16000</v>
      </c>
      <c r="Z615" s="5">
        <f t="shared" si="89"/>
        <v>16000</v>
      </c>
      <c r="AA615" s="20">
        <f t="shared" si="87"/>
        <v>0</v>
      </c>
    </row>
    <row r="616" spans="1:27" ht="12.75">
      <c r="A616" s="3" t="s">
        <v>1584</v>
      </c>
      <c r="B616" s="3" t="s">
        <v>3061</v>
      </c>
      <c r="C616" s="3" t="s">
        <v>3062</v>
      </c>
      <c r="D616" s="3" t="s">
        <v>3157</v>
      </c>
      <c r="E616" s="3" t="s">
        <v>1589</v>
      </c>
      <c r="F616" s="3" t="s">
        <v>3159</v>
      </c>
      <c r="G616" s="3" t="s">
        <v>1591</v>
      </c>
      <c r="H616" s="3" t="s">
        <v>1592</v>
      </c>
      <c r="I616" s="3" t="s">
        <v>3158</v>
      </c>
      <c r="J616" s="4">
        <v>0</v>
      </c>
      <c r="K616" s="4">
        <v>0</v>
      </c>
      <c r="L616" s="4">
        <v>2.95</v>
      </c>
      <c r="M616" s="4">
        <v>0</v>
      </c>
      <c r="N616" s="5">
        <v>85656</v>
      </c>
      <c r="O616" s="5">
        <v>0</v>
      </c>
      <c r="P616" s="5">
        <v>13279</v>
      </c>
      <c r="Q616" s="5">
        <v>0</v>
      </c>
      <c r="R616" s="5">
        <v>0</v>
      </c>
      <c r="S616" s="5">
        <v>0</v>
      </c>
      <c r="T616" s="5">
        <f t="shared" si="88"/>
        <v>98935</v>
      </c>
      <c r="U616" s="5">
        <v>11205</v>
      </c>
      <c r="V616" s="5">
        <v>0</v>
      </c>
      <c r="W616" s="5">
        <v>0</v>
      </c>
      <c r="X616" s="5">
        <v>0</v>
      </c>
      <c r="Y616" s="5">
        <v>110140</v>
      </c>
      <c r="Z616" s="5">
        <f t="shared" si="89"/>
        <v>110140</v>
      </c>
      <c r="AA616" s="20">
        <f t="shared" si="87"/>
        <v>0</v>
      </c>
    </row>
    <row r="617" spans="1:27" ht="12.75">
      <c r="A617" s="3" t="s">
        <v>1584</v>
      </c>
      <c r="B617" s="3" t="s">
        <v>3061</v>
      </c>
      <c r="C617" s="3" t="s">
        <v>3062</v>
      </c>
      <c r="D617" s="3" t="s">
        <v>3160</v>
      </c>
      <c r="E617" s="3" t="s">
        <v>1589</v>
      </c>
      <c r="F617" s="3" t="s">
        <v>3162</v>
      </c>
      <c r="G617" s="3" t="s">
        <v>1591</v>
      </c>
      <c r="H617" s="3" t="s">
        <v>1592</v>
      </c>
      <c r="I617" s="3" t="s">
        <v>3161</v>
      </c>
      <c r="J617" s="4">
        <v>0</v>
      </c>
      <c r="K617" s="4">
        <v>0</v>
      </c>
      <c r="L617" s="4">
        <v>1</v>
      </c>
      <c r="M617" s="4">
        <v>0</v>
      </c>
      <c r="N617" s="5">
        <v>30792</v>
      </c>
      <c r="O617" s="5">
        <v>0</v>
      </c>
      <c r="P617" s="5">
        <v>0</v>
      </c>
      <c r="Q617" s="5">
        <v>0</v>
      </c>
      <c r="R617" s="5">
        <v>0</v>
      </c>
      <c r="S617" s="5">
        <v>0</v>
      </c>
      <c r="T617" s="5">
        <f t="shared" si="88"/>
        <v>30792</v>
      </c>
      <c r="U617" s="5">
        <v>748</v>
      </c>
      <c r="V617" s="5">
        <v>0</v>
      </c>
      <c r="W617" s="5">
        <v>0</v>
      </c>
      <c r="X617" s="5">
        <v>0</v>
      </c>
      <c r="Y617" s="5">
        <v>31540</v>
      </c>
      <c r="Z617" s="5">
        <f t="shared" si="89"/>
        <v>31540</v>
      </c>
      <c r="AA617" s="20">
        <f t="shared" si="87"/>
        <v>0</v>
      </c>
    </row>
    <row r="618" spans="1:27" ht="12.75">
      <c r="A618" s="3" t="s">
        <v>1584</v>
      </c>
      <c r="B618" s="3" t="s">
        <v>3061</v>
      </c>
      <c r="C618" s="3" t="s">
        <v>3062</v>
      </c>
      <c r="D618" s="3" t="s">
        <v>3163</v>
      </c>
      <c r="E618" s="3" t="s">
        <v>3074</v>
      </c>
      <c r="F618" s="3" t="s">
        <v>3165</v>
      </c>
      <c r="G618" s="3" t="s">
        <v>1591</v>
      </c>
      <c r="H618" s="3" t="s">
        <v>1592</v>
      </c>
      <c r="I618" s="3" t="s">
        <v>3164</v>
      </c>
      <c r="J618" s="4">
        <v>1</v>
      </c>
      <c r="K618" s="4">
        <v>0</v>
      </c>
      <c r="L618" s="4">
        <v>12</v>
      </c>
      <c r="M618" s="4">
        <v>0</v>
      </c>
      <c r="N618" s="5">
        <v>599556</v>
      </c>
      <c r="O618" s="5">
        <v>0</v>
      </c>
      <c r="P618" s="5">
        <v>129650</v>
      </c>
      <c r="Q618" s="5">
        <v>0</v>
      </c>
      <c r="R618" s="5">
        <v>0</v>
      </c>
      <c r="S618" s="5">
        <v>0</v>
      </c>
      <c r="T618" s="5">
        <f t="shared" si="88"/>
        <v>729206</v>
      </c>
      <c r="U618" s="5">
        <v>89159</v>
      </c>
      <c r="V618" s="5">
        <v>0</v>
      </c>
      <c r="W618" s="5">
        <v>0</v>
      </c>
      <c r="X618" s="5">
        <v>94094</v>
      </c>
      <c r="Y618" s="5">
        <v>912459</v>
      </c>
      <c r="Z618" s="5">
        <f t="shared" si="89"/>
        <v>912459</v>
      </c>
      <c r="AA618" s="20">
        <f t="shared" si="87"/>
        <v>0</v>
      </c>
    </row>
    <row r="619" spans="1:27" ht="12.75">
      <c r="A619" s="3" t="s">
        <v>1584</v>
      </c>
      <c r="B619" s="3" t="s">
        <v>3061</v>
      </c>
      <c r="C619" s="3" t="s">
        <v>3062</v>
      </c>
      <c r="D619" s="3" t="s">
        <v>3166</v>
      </c>
      <c r="E619" s="3" t="s">
        <v>1589</v>
      </c>
      <c r="F619" s="3" t="s">
        <v>3168</v>
      </c>
      <c r="G619" s="3" t="s">
        <v>1591</v>
      </c>
      <c r="H619" s="3" t="s">
        <v>1592</v>
      </c>
      <c r="I619" s="3" t="s">
        <v>3167</v>
      </c>
      <c r="J619" s="4">
        <v>0</v>
      </c>
      <c r="K619" s="4">
        <v>0</v>
      </c>
      <c r="L619" s="4">
        <v>0</v>
      </c>
      <c r="M619" s="4">
        <v>0</v>
      </c>
      <c r="N619" s="5">
        <v>0</v>
      </c>
      <c r="O619" s="5">
        <v>0</v>
      </c>
      <c r="P619" s="5">
        <v>0</v>
      </c>
      <c r="Q619" s="5">
        <v>0</v>
      </c>
      <c r="R619" s="5">
        <v>0</v>
      </c>
      <c r="S619" s="5">
        <v>0</v>
      </c>
      <c r="T619" s="5">
        <f t="shared" si="88"/>
        <v>0</v>
      </c>
      <c r="U619" s="5">
        <v>20849</v>
      </c>
      <c r="V619" s="5">
        <v>0</v>
      </c>
      <c r="W619" s="5">
        <v>0</v>
      </c>
      <c r="X619" s="5">
        <v>0</v>
      </c>
      <c r="Y619" s="5">
        <v>20849</v>
      </c>
      <c r="Z619" s="5">
        <f t="shared" si="89"/>
        <v>20849</v>
      </c>
      <c r="AA619" s="20">
        <f t="shared" si="87"/>
        <v>0</v>
      </c>
    </row>
    <row r="620" spans="1:27" ht="12.75">
      <c r="A620" s="3" t="s">
        <v>1584</v>
      </c>
      <c r="B620" s="3" t="s">
        <v>3061</v>
      </c>
      <c r="C620" s="3" t="s">
        <v>3062</v>
      </c>
      <c r="D620" s="3" t="s">
        <v>3169</v>
      </c>
      <c r="E620" s="3" t="s">
        <v>1589</v>
      </c>
      <c r="F620" s="3" t="s">
        <v>3171</v>
      </c>
      <c r="G620" s="3" t="s">
        <v>1591</v>
      </c>
      <c r="H620" s="3" t="s">
        <v>1592</v>
      </c>
      <c r="I620" s="3" t="s">
        <v>3170</v>
      </c>
      <c r="J620" s="4">
        <v>0</v>
      </c>
      <c r="K620" s="4">
        <v>0</v>
      </c>
      <c r="L620" s="4">
        <v>7</v>
      </c>
      <c r="M620" s="4">
        <v>0</v>
      </c>
      <c r="N620" s="5">
        <v>180852</v>
      </c>
      <c r="O620" s="5">
        <v>0</v>
      </c>
      <c r="P620" s="5">
        <v>0</v>
      </c>
      <c r="Q620" s="5">
        <v>0</v>
      </c>
      <c r="R620" s="5">
        <v>0</v>
      </c>
      <c r="S620" s="5">
        <v>0</v>
      </c>
      <c r="T620" s="5">
        <f t="shared" si="88"/>
        <v>180852</v>
      </c>
      <c r="U620" s="5">
        <f>SUM(S620:S620)</f>
        <v>0</v>
      </c>
      <c r="V620" s="5">
        <v>0</v>
      </c>
      <c r="W620" s="5">
        <v>0</v>
      </c>
      <c r="X620" s="5">
        <v>0</v>
      </c>
      <c r="Y620" s="5">
        <v>180852</v>
      </c>
      <c r="Z620" s="5">
        <f t="shared" si="89"/>
        <v>180852</v>
      </c>
      <c r="AA620" s="20">
        <f t="shared" si="87"/>
        <v>0</v>
      </c>
    </row>
    <row r="621" spans="1:27" ht="12.75">
      <c r="A621" s="3" t="s">
        <v>1751</v>
      </c>
      <c r="B621" s="3" t="s">
        <v>3061</v>
      </c>
      <c r="C621" s="3" t="s">
        <v>3062</v>
      </c>
      <c r="D621" s="3" t="s">
        <v>3172</v>
      </c>
      <c r="E621" s="3" t="s">
        <v>1589</v>
      </c>
      <c r="F621" s="3" t="s">
        <v>3174</v>
      </c>
      <c r="G621" s="3" t="s">
        <v>1591</v>
      </c>
      <c r="H621" s="3" t="s">
        <v>1592</v>
      </c>
      <c r="I621" s="3" t="s">
        <v>3173</v>
      </c>
      <c r="J621" s="4">
        <v>0</v>
      </c>
      <c r="K621" s="4">
        <v>0.546</v>
      </c>
      <c r="L621" s="4">
        <v>0</v>
      </c>
      <c r="M621" s="4">
        <v>0</v>
      </c>
      <c r="N621" s="5">
        <v>30408</v>
      </c>
      <c r="O621" s="5">
        <v>0</v>
      </c>
      <c r="P621" s="5">
        <v>737</v>
      </c>
      <c r="Q621" s="5">
        <v>0</v>
      </c>
      <c r="R621" s="5">
        <v>0</v>
      </c>
      <c r="S621" s="5">
        <v>0</v>
      </c>
      <c r="T621" s="5">
        <f t="shared" si="88"/>
        <v>31145</v>
      </c>
      <c r="U621" s="5">
        <v>8000</v>
      </c>
      <c r="V621" s="5">
        <v>0</v>
      </c>
      <c r="W621" s="5">
        <v>0</v>
      </c>
      <c r="X621" s="5">
        <v>0</v>
      </c>
      <c r="Y621" s="5">
        <v>39145</v>
      </c>
      <c r="Z621" s="5">
        <f t="shared" si="89"/>
        <v>39145</v>
      </c>
      <c r="AA621" s="20">
        <f t="shared" si="87"/>
        <v>0</v>
      </c>
    </row>
    <row r="622" spans="1:27" ht="12.75">
      <c r="A622" s="3" t="s">
        <v>1751</v>
      </c>
      <c r="B622" s="3" t="s">
        <v>3061</v>
      </c>
      <c r="C622" s="3" t="s">
        <v>3062</v>
      </c>
      <c r="D622" s="3" t="s">
        <v>3175</v>
      </c>
      <c r="E622" s="3" t="s">
        <v>1589</v>
      </c>
      <c r="F622" s="3" t="s">
        <v>3177</v>
      </c>
      <c r="G622" s="3" t="s">
        <v>1591</v>
      </c>
      <c r="H622" s="3" t="s">
        <v>1592</v>
      </c>
      <c r="I622" s="3" t="s">
        <v>3176</v>
      </c>
      <c r="J622" s="4">
        <v>0</v>
      </c>
      <c r="K622" s="4">
        <v>1</v>
      </c>
      <c r="L622" s="4">
        <v>0</v>
      </c>
      <c r="M622" s="4">
        <v>0</v>
      </c>
      <c r="N622" s="5">
        <v>54636</v>
      </c>
      <c r="O622" s="5">
        <v>0</v>
      </c>
      <c r="P622" s="5">
        <v>0</v>
      </c>
      <c r="Q622" s="5">
        <v>0</v>
      </c>
      <c r="R622" s="5">
        <v>0</v>
      </c>
      <c r="S622" s="5">
        <v>0</v>
      </c>
      <c r="T622" s="5">
        <f t="shared" si="88"/>
        <v>54636</v>
      </c>
      <c r="U622" s="5">
        <v>8000</v>
      </c>
      <c r="V622" s="5">
        <v>0</v>
      </c>
      <c r="W622" s="5">
        <v>0</v>
      </c>
      <c r="X622" s="5">
        <v>0</v>
      </c>
      <c r="Y622" s="5">
        <v>62636</v>
      </c>
      <c r="Z622" s="5">
        <f t="shared" si="89"/>
        <v>62636</v>
      </c>
      <c r="AA622" s="20">
        <f t="shared" si="87"/>
        <v>0</v>
      </c>
    </row>
    <row r="623" spans="1:27" ht="12.75">
      <c r="A623" s="3" t="s">
        <v>1584</v>
      </c>
      <c r="B623" s="3" t="s">
        <v>3061</v>
      </c>
      <c r="C623" s="3" t="s">
        <v>3062</v>
      </c>
      <c r="D623" s="3" t="s">
        <v>3178</v>
      </c>
      <c r="E623" s="3" t="s">
        <v>1589</v>
      </c>
      <c r="F623" s="3" t="s">
        <v>3180</v>
      </c>
      <c r="G623" s="3" t="s">
        <v>1591</v>
      </c>
      <c r="H623" s="3" t="s">
        <v>1592</v>
      </c>
      <c r="I623" s="3" t="s">
        <v>3179</v>
      </c>
      <c r="J623" s="4">
        <v>0</v>
      </c>
      <c r="K623" s="4">
        <v>0</v>
      </c>
      <c r="L623" s="4">
        <v>0.512</v>
      </c>
      <c r="M623" s="4">
        <v>0</v>
      </c>
      <c r="N623" s="5">
        <v>13728</v>
      </c>
      <c r="O623" s="5">
        <v>0</v>
      </c>
      <c r="P623" s="5">
        <v>0</v>
      </c>
      <c r="Q623" s="5">
        <v>0</v>
      </c>
      <c r="R623" s="5">
        <v>0</v>
      </c>
      <c r="S623" s="5">
        <v>0</v>
      </c>
      <c r="T623" s="5">
        <f t="shared" si="88"/>
        <v>13728</v>
      </c>
      <c r="U623" s="5">
        <v>2646</v>
      </c>
      <c r="V623" s="5">
        <v>0</v>
      </c>
      <c r="W623" s="5">
        <v>0</v>
      </c>
      <c r="X623" s="5">
        <v>0</v>
      </c>
      <c r="Y623" s="5">
        <v>16374</v>
      </c>
      <c r="Z623" s="5">
        <f t="shared" si="89"/>
        <v>16374</v>
      </c>
      <c r="AA623" s="20">
        <f t="shared" si="87"/>
        <v>0</v>
      </c>
    </row>
    <row r="624" spans="1:27" ht="12.75">
      <c r="A624" s="3" t="s">
        <v>1584</v>
      </c>
      <c r="B624" s="3" t="s">
        <v>3061</v>
      </c>
      <c r="C624" s="3" t="s">
        <v>3062</v>
      </c>
      <c r="D624" s="3" t="s">
        <v>3181</v>
      </c>
      <c r="E624" s="3" t="s">
        <v>1589</v>
      </c>
      <c r="F624" s="3" t="s">
        <v>3183</v>
      </c>
      <c r="G624" s="3" t="s">
        <v>1591</v>
      </c>
      <c r="H624" s="3" t="s">
        <v>1592</v>
      </c>
      <c r="I624" s="3" t="s">
        <v>3182</v>
      </c>
      <c r="J624" s="4">
        <v>0</v>
      </c>
      <c r="K624" s="4">
        <v>0</v>
      </c>
      <c r="L624" s="4">
        <v>2</v>
      </c>
      <c r="M624" s="4">
        <v>0</v>
      </c>
      <c r="N624" s="5">
        <v>67452</v>
      </c>
      <c r="O624" s="5">
        <v>0</v>
      </c>
      <c r="P624" s="5">
        <v>21605</v>
      </c>
      <c r="Q624" s="5">
        <v>26001</v>
      </c>
      <c r="R624" s="5">
        <v>0</v>
      </c>
      <c r="S624" s="5">
        <v>0</v>
      </c>
      <c r="T624" s="5">
        <f t="shared" si="88"/>
        <v>115058</v>
      </c>
      <c r="U624" s="5">
        <v>10021</v>
      </c>
      <c r="V624" s="5">
        <v>0</v>
      </c>
      <c r="W624" s="5">
        <v>0</v>
      </c>
      <c r="X624" s="5">
        <v>100</v>
      </c>
      <c r="Y624" s="5">
        <v>125179</v>
      </c>
      <c r="Z624" s="5">
        <f t="shared" si="89"/>
        <v>125179</v>
      </c>
      <c r="AA624" s="20">
        <f t="shared" si="87"/>
        <v>0</v>
      </c>
    </row>
    <row r="625" spans="1:27" ht="13.5" thickBot="1">
      <c r="A625" s="3" t="s">
        <v>1584</v>
      </c>
      <c r="B625" s="3" t="s">
        <v>3061</v>
      </c>
      <c r="C625" s="3" t="s">
        <v>3062</v>
      </c>
      <c r="D625" s="3" t="s">
        <v>3184</v>
      </c>
      <c r="E625" s="3" t="s">
        <v>1589</v>
      </c>
      <c r="F625" s="3" t="s">
        <v>3186</v>
      </c>
      <c r="G625" s="3" t="s">
        <v>1591</v>
      </c>
      <c r="H625" s="3" t="s">
        <v>1592</v>
      </c>
      <c r="I625" s="3" t="s">
        <v>3185</v>
      </c>
      <c r="J625" s="6">
        <v>0</v>
      </c>
      <c r="K625" s="6">
        <v>0</v>
      </c>
      <c r="L625" s="6">
        <v>0</v>
      </c>
      <c r="M625" s="6">
        <v>0</v>
      </c>
      <c r="N625" s="7">
        <v>0</v>
      </c>
      <c r="O625" s="7">
        <v>0</v>
      </c>
      <c r="P625" s="7">
        <v>5000</v>
      </c>
      <c r="Q625" s="7">
        <v>0</v>
      </c>
      <c r="R625" s="7">
        <v>0</v>
      </c>
      <c r="S625" s="7">
        <v>0</v>
      </c>
      <c r="T625" s="7">
        <f t="shared" si="88"/>
        <v>5000</v>
      </c>
      <c r="U625" s="7">
        <v>25249</v>
      </c>
      <c r="V625" s="7">
        <v>0</v>
      </c>
      <c r="W625" s="7">
        <v>0</v>
      </c>
      <c r="X625" s="7">
        <v>0</v>
      </c>
      <c r="Y625" s="7">
        <v>30249</v>
      </c>
      <c r="Z625" s="7">
        <f t="shared" si="89"/>
        <v>30249</v>
      </c>
      <c r="AA625" s="20">
        <f t="shared" si="87"/>
        <v>0</v>
      </c>
    </row>
    <row r="626" spans="10:27" ht="12.75">
      <c r="J626" s="16"/>
      <c r="K626" s="16"/>
      <c r="L626" s="16"/>
      <c r="M626" s="16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20"/>
    </row>
    <row r="627" spans="9:27" ht="12.75">
      <c r="I627" s="3" t="s">
        <v>185</v>
      </c>
      <c r="J627" s="4">
        <f aca="true" t="shared" si="90" ref="J627:Z627">SUM(J587:J625)</f>
        <v>9</v>
      </c>
      <c r="K627" s="4">
        <f t="shared" si="90"/>
        <v>1.546</v>
      </c>
      <c r="L627" s="4">
        <f t="shared" si="90"/>
        <v>99.987</v>
      </c>
      <c r="M627" s="4">
        <f t="shared" si="90"/>
        <v>0.75</v>
      </c>
      <c r="N627" s="5">
        <f t="shared" si="90"/>
        <v>3376572</v>
      </c>
      <c r="O627" s="5">
        <f t="shared" si="90"/>
        <v>12855</v>
      </c>
      <c r="P627" s="5">
        <f t="shared" si="90"/>
        <v>362236</v>
      </c>
      <c r="Q627" s="5">
        <f t="shared" si="90"/>
        <v>34668</v>
      </c>
      <c r="R627" s="5">
        <f t="shared" si="90"/>
        <v>1157931</v>
      </c>
      <c r="S627" s="5">
        <f t="shared" si="90"/>
        <v>0</v>
      </c>
      <c r="T627" s="5">
        <f t="shared" si="90"/>
        <v>4944262</v>
      </c>
      <c r="U627" s="5">
        <f t="shared" si="90"/>
        <v>979431</v>
      </c>
      <c r="V627" s="5">
        <f t="shared" si="90"/>
        <v>1168060</v>
      </c>
      <c r="W627" s="5">
        <f t="shared" si="90"/>
        <v>0</v>
      </c>
      <c r="X627" s="5">
        <f t="shared" si="90"/>
        <v>168794</v>
      </c>
      <c r="Y627" s="5">
        <f t="shared" si="90"/>
        <v>7260547</v>
      </c>
      <c r="Z627" s="5">
        <f t="shared" si="90"/>
        <v>7260547</v>
      </c>
      <c r="AA627" s="20">
        <f>+Y627-Z627</f>
        <v>0</v>
      </c>
    </row>
    <row r="628" spans="10:27" ht="13.5" thickBot="1">
      <c r="J628" s="6"/>
      <c r="K628" s="6"/>
      <c r="L628" s="6"/>
      <c r="M628" s="6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20"/>
    </row>
    <row r="629" spans="9:27" ht="12.75">
      <c r="I629" s="3" t="s">
        <v>2540</v>
      </c>
      <c r="J629" s="4"/>
      <c r="K629" s="4"/>
      <c r="L629" s="4"/>
      <c r="M629" s="4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20"/>
    </row>
    <row r="630" spans="8:27" ht="13.5" thickBot="1">
      <c r="H630" s="4" t="s">
        <v>2540</v>
      </c>
      <c r="I630" s="3" t="s">
        <v>2145</v>
      </c>
      <c r="J630" s="27">
        <f>+(J33)+(J222)+(J346)+(J388)+(J436)+(J463)+(J506)+(J582)+(J627)</f>
        <v>90.404</v>
      </c>
      <c r="K630" s="27">
        <f aca="true" t="shared" si="91" ref="K630:Y630">+(K33)+(K222)+(K346)+(K388)+(K436)+(K463)+(K506)+(K582)+(K627)</f>
        <v>673.3370000000001</v>
      </c>
      <c r="L630" s="27">
        <f t="shared" si="91"/>
        <v>1000.9039999999999</v>
      </c>
      <c r="M630" s="27">
        <f t="shared" si="91"/>
        <v>266.345</v>
      </c>
      <c r="N630" s="28">
        <f t="shared" si="91"/>
        <v>77408506</v>
      </c>
      <c r="O630" s="28">
        <f t="shared" si="91"/>
        <v>499822</v>
      </c>
      <c r="P630" s="28">
        <f t="shared" si="91"/>
        <v>5192914</v>
      </c>
      <c r="Q630" s="28">
        <f t="shared" si="91"/>
        <v>3572507</v>
      </c>
      <c r="R630" s="28">
        <f t="shared" si="91"/>
        <v>22528783</v>
      </c>
      <c r="S630" s="28">
        <f t="shared" si="91"/>
        <v>0</v>
      </c>
      <c r="T630" s="28">
        <f t="shared" si="91"/>
        <v>109202532</v>
      </c>
      <c r="U630" s="28">
        <f t="shared" si="91"/>
        <v>18258503</v>
      </c>
      <c r="V630" s="28">
        <f t="shared" si="91"/>
        <v>10868235</v>
      </c>
      <c r="W630" s="28">
        <f t="shared" si="91"/>
        <v>125077</v>
      </c>
      <c r="X630" s="28">
        <f t="shared" si="91"/>
        <v>1304493</v>
      </c>
      <c r="Y630" s="28">
        <f t="shared" si="91"/>
        <v>139758840</v>
      </c>
      <c r="Z630" s="28">
        <f t="shared" si="89"/>
        <v>139758840</v>
      </c>
      <c r="AA630" s="20" t="s">
        <v>2540</v>
      </c>
    </row>
    <row r="631" spans="10:27" ht="13.5" thickTop="1">
      <c r="J631" s="4"/>
      <c r="K631" s="4" t="s">
        <v>2540</v>
      </c>
      <c r="L631" s="4" t="s">
        <v>2540</v>
      </c>
      <c r="M631" s="4" t="s">
        <v>2540</v>
      </c>
      <c r="N631" s="5" t="s">
        <v>2540</v>
      </c>
      <c r="O631" s="5" t="s">
        <v>2540</v>
      </c>
      <c r="P631" s="5" t="s">
        <v>2540</v>
      </c>
      <c r="Q631" s="5" t="s">
        <v>2540</v>
      </c>
      <c r="R631" s="5" t="s">
        <v>2540</v>
      </c>
      <c r="S631" s="5" t="s">
        <v>2540</v>
      </c>
      <c r="T631" s="5" t="s">
        <v>2540</v>
      </c>
      <c r="U631" s="5" t="s">
        <v>2540</v>
      </c>
      <c r="V631" s="5"/>
      <c r="W631" s="5"/>
      <c r="X631" s="5"/>
      <c r="Y631" s="5" t="s">
        <v>2540</v>
      </c>
      <c r="Z631" s="5" t="s">
        <v>2540</v>
      </c>
      <c r="AA631" s="20" t="s">
        <v>2540</v>
      </c>
    </row>
    <row r="632" spans="1:27" ht="12.75">
      <c r="A632" s="3" t="s">
        <v>1842</v>
      </c>
      <c r="B632" s="3" t="s">
        <v>898</v>
      </c>
      <c r="C632" s="3" t="s">
        <v>932</v>
      </c>
      <c r="D632" s="3" t="s">
        <v>933</v>
      </c>
      <c r="E632" s="3" t="s">
        <v>3191</v>
      </c>
      <c r="F632" s="3" t="s">
        <v>935</v>
      </c>
      <c r="G632" s="3" t="s">
        <v>1591</v>
      </c>
      <c r="H632" s="3" t="s">
        <v>1592</v>
      </c>
      <c r="I632" s="3" t="s">
        <v>934</v>
      </c>
      <c r="J632" s="4">
        <v>0</v>
      </c>
      <c r="K632" s="4">
        <v>0</v>
      </c>
      <c r="L632" s="4">
        <v>0</v>
      </c>
      <c r="M632" s="4">
        <v>0</v>
      </c>
      <c r="N632" s="5">
        <v>0</v>
      </c>
      <c r="O632" s="5">
        <v>0</v>
      </c>
      <c r="P632" s="5">
        <v>850</v>
      </c>
      <c r="Q632" s="5">
        <v>0</v>
      </c>
      <c r="R632" s="5">
        <v>0</v>
      </c>
      <c r="S632" s="5">
        <v>0</v>
      </c>
      <c r="T632" s="5">
        <f t="shared" si="88"/>
        <v>850</v>
      </c>
      <c r="U632" s="5">
        <v>9400</v>
      </c>
      <c r="V632" s="5">
        <v>0</v>
      </c>
      <c r="W632" s="5">
        <v>521</v>
      </c>
      <c r="X632" s="5">
        <v>236</v>
      </c>
      <c r="Y632" s="5">
        <v>11007</v>
      </c>
      <c r="Z632" s="5">
        <f t="shared" si="89"/>
        <v>11007</v>
      </c>
      <c r="AA632" s="20">
        <f aca="true" t="shared" si="92" ref="AA632:AA659">+Y632-Z632</f>
        <v>0</v>
      </c>
    </row>
    <row r="633" spans="1:27" ht="12.75">
      <c r="A633" s="3" t="s">
        <v>2908</v>
      </c>
      <c r="B633" s="3" t="s">
        <v>898</v>
      </c>
      <c r="C633" s="3" t="s">
        <v>932</v>
      </c>
      <c r="D633" s="3" t="s">
        <v>936</v>
      </c>
      <c r="E633" s="3" t="s">
        <v>3191</v>
      </c>
      <c r="F633" s="3" t="s">
        <v>938</v>
      </c>
      <c r="G633" s="3" t="s">
        <v>1591</v>
      </c>
      <c r="H633" s="3" t="s">
        <v>1592</v>
      </c>
      <c r="I633" s="3" t="s">
        <v>937</v>
      </c>
      <c r="J633" s="4">
        <v>0</v>
      </c>
      <c r="K633" s="4">
        <v>0</v>
      </c>
      <c r="L633" s="4">
        <v>1.5</v>
      </c>
      <c r="M633" s="4">
        <v>0</v>
      </c>
      <c r="N633" s="5">
        <v>41808</v>
      </c>
      <c r="O633" s="5">
        <v>0</v>
      </c>
      <c r="P633" s="5">
        <v>0</v>
      </c>
      <c r="Q633" s="5">
        <v>0</v>
      </c>
      <c r="R633" s="5">
        <v>12950</v>
      </c>
      <c r="S633" s="5">
        <v>0</v>
      </c>
      <c r="T633" s="5">
        <f t="shared" si="88"/>
        <v>54758</v>
      </c>
      <c r="U633" s="5">
        <f>SUM(S633:S633)</f>
        <v>0</v>
      </c>
      <c r="V633" s="5">
        <v>0</v>
      </c>
      <c r="W633" s="5">
        <v>0</v>
      </c>
      <c r="X633" s="5">
        <v>0</v>
      </c>
      <c r="Y633" s="5">
        <v>54758</v>
      </c>
      <c r="Z633" s="5">
        <f t="shared" si="89"/>
        <v>54758</v>
      </c>
      <c r="AA633" s="20">
        <f t="shared" si="92"/>
        <v>0</v>
      </c>
    </row>
    <row r="634" spans="1:27" ht="12.75">
      <c r="A634" s="3" t="s">
        <v>1908</v>
      </c>
      <c r="B634" s="3" t="s">
        <v>898</v>
      </c>
      <c r="C634" s="3" t="s">
        <v>932</v>
      </c>
      <c r="D634" s="3" t="s">
        <v>939</v>
      </c>
      <c r="E634" s="3" t="s">
        <v>941</v>
      </c>
      <c r="F634" s="3" t="s">
        <v>942</v>
      </c>
      <c r="G634" s="3" t="s">
        <v>1591</v>
      </c>
      <c r="H634" s="3" t="s">
        <v>1592</v>
      </c>
      <c r="I634" s="3" t="s">
        <v>940</v>
      </c>
      <c r="J634" s="4">
        <v>0</v>
      </c>
      <c r="K634" s="4">
        <v>1.741</v>
      </c>
      <c r="L634" s="4">
        <v>10.545</v>
      </c>
      <c r="M634" s="4">
        <v>8.166</v>
      </c>
      <c r="N634" s="5">
        <v>904412</v>
      </c>
      <c r="O634" s="5">
        <v>0</v>
      </c>
      <c r="P634" s="5">
        <v>336000</v>
      </c>
      <c r="Q634" s="5">
        <v>240000</v>
      </c>
      <c r="R634" s="5">
        <v>17327</v>
      </c>
      <c r="S634" s="5">
        <v>0</v>
      </c>
      <c r="T634" s="5">
        <f t="shared" si="88"/>
        <v>1497739</v>
      </c>
      <c r="U634" s="5">
        <f>SUM(S634:S634)</f>
        <v>0</v>
      </c>
      <c r="V634" s="5">
        <v>0</v>
      </c>
      <c r="W634" s="5">
        <v>0</v>
      </c>
      <c r="X634" s="5">
        <v>0</v>
      </c>
      <c r="Y634" s="5">
        <v>1497739</v>
      </c>
      <c r="Z634" s="5">
        <f t="shared" si="89"/>
        <v>1497739</v>
      </c>
      <c r="AA634" s="20">
        <f t="shared" si="92"/>
        <v>0</v>
      </c>
    </row>
    <row r="635" spans="1:27" ht="12.75">
      <c r="A635" s="3" t="s">
        <v>1968</v>
      </c>
      <c r="B635" s="3" t="s">
        <v>898</v>
      </c>
      <c r="C635" s="3" t="s">
        <v>932</v>
      </c>
      <c r="D635" s="3" t="s">
        <v>943</v>
      </c>
      <c r="E635" s="3" t="s">
        <v>3191</v>
      </c>
      <c r="F635" s="3" t="s">
        <v>945</v>
      </c>
      <c r="G635" s="3" t="s">
        <v>1591</v>
      </c>
      <c r="H635" s="3" t="s">
        <v>1592</v>
      </c>
      <c r="I635" s="3" t="s">
        <v>944</v>
      </c>
      <c r="J635" s="4">
        <v>0</v>
      </c>
      <c r="K635" s="4">
        <v>0</v>
      </c>
      <c r="L635" s="4">
        <v>1.255</v>
      </c>
      <c r="M635" s="4">
        <v>0</v>
      </c>
      <c r="N635" s="5">
        <v>32253</v>
      </c>
      <c r="O635" s="5">
        <v>0</v>
      </c>
      <c r="P635" s="5">
        <v>10000</v>
      </c>
      <c r="Q635" s="5">
        <v>0</v>
      </c>
      <c r="R635" s="5">
        <v>3878</v>
      </c>
      <c r="S635" s="5">
        <v>10000</v>
      </c>
      <c r="T635" s="5">
        <f t="shared" si="88"/>
        <v>46131</v>
      </c>
      <c r="U635" s="5">
        <f>19000+10000</f>
        <v>29000</v>
      </c>
      <c r="V635" s="5">
        <v>0</v>
      </c>
      <c r="W635" s="5">
        <v>0</v>
      </c>
      <c r="X635" s="5">
        <v>5000</v>
      </c>
      <c r="Y635" s="5">
        <v>80131</v>
      </c>
      <c r="Z635" s="5">
        <f t="shared" si="89"/>
        <v>80131</v>
      </c>
      <c r="AA635" s="20">
        <f t="shared" si="92"/>
        <v>0</v>
      </c>
    </row>
    <row r="636" spans="1:27" ht="12.75">
      <c r="A636" s="3" t="s">
        <v>1751</v>
      </c>
      <c r="B636" s="3" t="s">
        <v>898</v>
      </c>
      <c r="C636" s="3" t="s">
        <v>932</v>
      </c>
      <c r="D636" s="3" t="s">
        <v>946</v>
      </c>
      <c r="E636" s="3" t="s">
        <v>948</v>
      </c>
      <c r="F636" s="3" t="s">
        <v>949</v>
      </c>
      <c r="G636" s="3" t="s">
        <v>1591</v>
      </c>
      <c r="H636" s="3" t="s">
        <v>1592</v>
      </c>
      <c r="I636" s="3" t="s">
        <v>947</v>
      </c>
      <c r="J636" s="4">
        <v>0</v>
      </c>
      <c r="K636" s="4">
        <v>0</v>
      </c>
      <c r="L636" s="4">
        <v>0</v>
      </c>
      <c r="M636" s="4">
        <v>0</v>
      </c>
      <c r="N636" s="5">
        <v>0</v>
      </c>
      <c r="O636" s="5">
        <v>0</v>
      </c>
      <c r="P636" s="5">
        <v>0</v>
      </c>
      <c r="Q636" s="5">
        <v>0</v>
      </c>
      <c r="R636" s="5">
        <v>2375</v>
      </c>
      <c r="S636" s="5">
        <v>2513</v>
      </c>
      <c r="T636" s="5">
        <f t="shared" si="88"/>
        <v>2375</v>
      </c>
      <c r="U636" s="5">
        <f>2513+8300</f>
        <v>10813</v>
      </c>
      <c r="V636" s="5">
        <v>0</v>
      </c>
      <c r="W636" s="5">
        <v>0</v>
      </c>
      <c r="X636" s="5">
        <v>0</v>
      </c>
      <c r="Y636" s="5">
        <v>13188</v>
      </c>
      <c r="Z636" s="5">
        <f t="shared" si="89"/>
        <v>13188</v>
      </c>
      <c r="AA636" s="20">
        <f t="shared" si="92"/>
        <v>0</v>
      </c>
    </row>
    <row r="637" spans="1:27" ht="12.75">
      <c r="A637" s="3" t="s">
        <v>2912</v>
      </c>
      <c r="B637" s="3" t="s">
        <v>898</v>
      </c>
      <c r="C637" s="3" t="s">
        <v>932</v>
      </c>
      <c r="D637" s="3" t="s">
        <v>950</v>
      </c>
      <c r="E637" s="3" t="s">
        <v>948</v>
      </c>
      <c r="F637" s="3" t="s">
        <v>952</v>
      </c>
      <c r="G637" s="3" t="s">
        <v>1591</v>
      </c>
      <c r="H637" s="3" t="s">
        <v>1592</v>
      </c>
      <c r="I637" s="3" t="s">
        <v>951</v>
      </c>
      <c r="J637" s="4">
        <v>0</v>
      </c>
      <c r="K637" s="4">
        <v>0</v>
      </c>
      <c r="L637" s="4">
        <v>0</v>
      </c>
      <c r="M637" s="4">
        <v>0</v>
      </c>
      <c r="N637" s="5">
        <v>0</v>
      </c>
      <c r="O637" s="5">
        <v>0</v>
      </c>
      <c r="P637" s="5">
        <v>3000</v>
      </c>
      <c r="Q637" s="5">
        <v>0</v>
      </c>
      <c r="R637" s="5">
        <v>530</v>
      </c>
      <c r="S637" s="5">
        <v>14000</v>
      </c>
      <c r="T637" s="5">
        <f t="shared" si="88"/>
        <v>3530</v>
      </c>
      <c r="U637" s="5">
        <f>14000+21125</f>
        <v>35125</v>
      </c>
      <c r="V637" s="5">
        <v>0</v>
      </c>
      <c r="W637" s="5">
        <v>0</v>
      </c>
      <c r="X637" s="5">
        <v>100</v>
      </c>
      <c r="Y637" s="5">
        <v>38755</v>
      </c>
      <c r="Z637" s="5">
        <f t="shared" si="89"/>
        <v>38755</v>
      </c>
      <c r="AA637" s="20">
        <f t="shared" si="92"/>
        <v>0</v>
      </c>
    </row>
    <row r="638" spans="1:27" ht="12.75">
      <c r="A638" s="3" t="s">
        <v>2912</v>
      </c>
      <c r="B638" s="3" t="s">
        <v>898</v>
      </c>
      <c r="C638" s="3" t="s">
        <v>932</v>
      </c>
      <c r="D638" s="3" t="s">
        <v>953</v>
      </c>
      <c r="E638" s="3" t="s">
        <v>948</v>
      </c>
      <c r="F638" s="3" t="s">
        <v>955</v>
      </c>
      <c r="G638" s="3" t="s">
        <v>1591</v>
      </c>
      <c r="H638" s="3" t="s">
        <v>1592</v>
      </c>
      <c r="I638" s="3" t="s">
        <v>954</v>
      </c>
      <c r="J638" s="4">
        <v>1</v>
      </c>
      <c r="K638" s="4">
        <v>0</v>
      </c>
      <c r="L638" s="4">
        <v>1.85</v>
      </c>
      <c r="M638" s="4">
        <v>0</v>
      </c>
      <c r="N638" s="5">
        <v>77155</v>
      </c>
      <c r="O638" s="5">
        <v>0</v>
      </c>
      <c r="P638" s="5">
        <v>0</v>
      </c>
      <c r="Q638" s="5">
        <v>0</v>
      </c>
      <c r="R638" s="5">
        <v>11903</v>
      </c>
      <c r="S638" s="5">
        <v>85000</v>
      </c>
      <c r="T638" s="5">
        <f t="shared" si="88"/>
        <v>89058</v>
      </c>
      <c r="U638" s="5">
        <f>85000+1000200</f>
        <v>1085200</v>
      </c>
      <c r="V638" s="5">
        <v>0</v>
      </c>
      <c r="W638" s="5">
        <v>300</v>
      </c>
      <c r="X638" s="5">
        <v>60</v>
      </c>
      <c r="Y638" s="5">
        <v>1174618</v>
      </c>
      <c r="Z638" s="5">
        <f t="shared" si="89"/>
        <v>1174618</v>
      </c>
      <c r="AA638" s="20">
        <f t="shared" si="92"/>
        <v>0</v>
      </c>
    </row>
    <row r="639" spans="1:27" ht="12.75">
      <c r="A639" s="3" t="s">
        <v>1968</v>
      </c>
      <c r="B639" s="3" t="s">
        <v>898</v>
      </c>
      <c r="C639" s="3" t="s">
        <v>932</v>
      </c>
      <c r="D639" s="3" t="s">
        <v>956</v>
      </c>
      <c r="E639" s="3" t="s">
        <v>3191</v>
      </c>
      <c r="F639" s="3" t="s">
        <v>958</v>
      </c>
      <c r="G639" s="3" t="s">
        <v>1591</v>
      </c>
      <c r="H639" s="3" t="s">
        <v>1592</v>
      </c>
      <c r="I639" s="3" t="s">
        <v>957</v>
      </c>
      <c r="J639" s="4">
        <v>0</v>
      </c>
      <c r="K639" s="4">
        <v>0</v>
      </c>
      <c r="L639" s="4">
        <v>0.5</v>
      </c>
      <c r="M639" s="4">
        <v>0</v>
      </c>
      <c r="N639" s="5">
        <v>8112</v>
      </c>
      <c r="O639" s="5">
        <v>0</v>
      </c>
      <c r="P639" s="5">
        <v>1000</v>
      </c>
      <c r="Q639" s="5">
        <v>0</v>
      </c>
      <c r="R639" s="5">
        <v>0</v>
      </c>
      <c r="S639" s="5">
        <v>0</v>
      </c>
      <c r="T639" s="5">
        <f t="shared" si="88"/>
        <v>9112</v>
      </c>
      <c r="U639" s="5">
        <v>14000</v>
      </c>
      <c r="V639" s="5">
        <v>0</v>
      </c>
      <c r="W639" s="5">
        <v>3000</v>
      </c>
      <c r="X639" s="5">
        <v>8000</v>
      </c>
      <c r="Y639" s="5">
        <v>34112</v>
      </c>
      <c r="Z639" s="5">
        <f t="shared" si="89"/>
        <v>34112</v>
      </c>
      <c r="AA639" s="20">
        <f t="shared" si="92"/>
        <v>0</v>
      </c>
    </row>
    <row r="640" spans="1:27" ht="12.75">
      <c r="A640" s="3" t="s">
        <v>1699</v>
      </c>
      <c r="B640" s="3" t="s">
        <v>898</v>
      </c>
      <c r="C640" s="3" t="s">
        <v>932</v>
      </c>
      <c r="D640" s="3" t="s">
        <v>959</v>
      </c>
      <c r="E640" s="3" t="s">
        <v>3191</v>
      </c>
      <c r="F640" s="3" t="s">
        <v>961</v>
      </c>
      <c r="G640" s="3" t="s">
        <v>1591</v>
      </c>
      <c r="H640" s="3" t="s">
        <v>1592</v>
      </c>
      <c r="I640" s="3" t="s">
        <v>2161</v>
      </c>
      <c r="J640" s="4">
        <v>0</v>
      </c>
      <c r="K640" s="4">
        <v>0</v>
      </c>
      <c r="L640" s="4">
        <v>2.533</v>
      </c>
      <c r="M640" s="4">
        <v>1.06</v>
      </c>
      <c r="N640" s="5">
        <v>102528</v>
      </c>
      <c r="O640" s="5">
        <v>0</v>
      </c>
      <c r="P640" s="5">
        <v>40204</v>
      </c>
      <c r="Q640" s="5">
        <v>0</v>
      </c>
      <c r="R640" s="5">
        <v>16734</v>
      </c>
      <c r="S640" s="5">
        <v>0</v>
      </c>
      <c r="T640" s="5">
        <f t="shared" si="88"/>
        <v>159466</v>
      </c>
      <c r="U640" s="5">
        <f>SUM(S640:S640)</f>
        <v>0</v>
      </c>
      <c r="V640" s="5">
        <v>0</v>
      </c>
      <c r="W640" s="5">
        <v>0</v>
      </c>
      <c r="X640" s="5">
        <v>0</v>
      </c>
      <c r="Y640" s="5">
        <v>159466</v>
      </c>
      <c r="Z640" s="5">
        <f t="shared" si="89"/>
        <v>159466</v>
      </c>
      <c r="AA640" s="20">
        <f t="shared" si="92"/>
        <v>0</v>
      </c>
    </row>
    <row r="641" spans="1:27" ht="12.75">
      <c r="A641" s="3" t="s">
        <v>1699</v>
      </c>
      <c r="B641" s="3" t="s">
        <v>898</v>
      </c>
      <c r="C641" s="3" t="s">
        <v>932</v>
      </c>
      <c r="D641" s="3" t="s">
        <v>962</v>
      </c>
      <c r="E641" s="3" t="s">
        <v>3191</v>
      </c>
      <c r="F641" s="3" t="s">
        <v>964</v>
      </c>
      <c r="G641" s="3" t="s">
        <v>1591</v>
      </c>
      <c r="H641" s="3" t="s">
        <v>1592</v>
      </c>
      <c r="I641" s="3" t="s">
        <v>2162</v>
      </c>
      <c r="J641" s="4">
        <v>0</v>
      </c>
      <c r="K641" s="4">
        <v>0</v>
      </c>
      <c r="L641" s="4">
        <v>3.555</v>
      </c>
      <c r="M641" s="4">
        <v>1.5819999999999999</v>
      </c>
      <c r="N641" s="5">
        <v>133296</v>
      </c>
      <c r="O641" s="5">
        <v>0</v>
      </c>
      <c r="P641" s="5">
        <v>0</v>
      </c>
      <c r="Q641" s="5">
        <v>0</v>
      </c>
      <c r="R641" s="5">
        <v>12186</v>
      </c>
      <c r="S641" s="5">
        <v>0</v>
      </c>
      <c r="T641" s="5">
        <f t="shared" si="88"/>
        <v>145482</v>
      </c>
      <c r="U641" s="5">
        <f>SUM(S641:S641)</f>
        <v>0</v>
      </c>
      <c r="V641" s="5">
        <v>0</v>
      </c>
      <c r="W641" s="5">
        <v>0</v>
      </c>
      <c r="X641" s="5">
        <v>0</v>
      </c>
      <c r="Y641" s="5">
        <v>145482</v>
      </c>
      <c r="Z641" s="5">
        <f t="shared" si="89"/>
        <v>145482</v>
      </c>
      <c r="AA641" s="20">
        <f t="shared" si="92"/>
        <v>0</v>
      </c>
    </row>
    <row r="642" spans="1:27" ht="12.75">
      <c r="A642" s="3" t="s">
        <v>1936</v>
      </c>
      <c r="B642" s="3" t="s">
        <v>898</v>
      </c>
      <c r="C642" s="3" t="s">
        <v>932</v>
      </c>
      <c r="D642" s="3" t="s">
        <v>965</v>
      </c>
      <c r="E642" s="3" t="s">
        <v>3191</v>
      </c>
      <c r="F642" s="3" t="s">
        <v>967</v>
      </c>
      <c r="G642" s="3" t="s">
        <v>1591</v>
      </c>
      <c r="H642" s="3" t="s">
        <v>1592</v>
      </c>
      <c r="I642" s="3" t="s">
        <v>2163</v>
      </c>
      <c r="J642" s="4">
        <v>0</v>
      </c>
      <c r="K642" s="4">
        <v>0</v>
      </c>
      <c r="L642" s="4">
        <v>0</v>
      </c>
      <c r="M642" s="4">
        <v>0</v>
      </c>
      <c r="N642" s="5">
        <v>0</v>
      </c>
      <c r="O642" s="5">
        <v>0</v>
      </c>
      <c r="P642" s="5">
        <v>0</v>
      </c>
      <c r="Q642" s="5">
        <v>0</v>
      </c>
      <c r="R642" s="5">
        <v>0</v>
      </c>
      <c r="S642" s="5">
        <v>0</v>
      </c>
      <c r="T642" s="5">
        <f t="shared" si="88"/>
        <v>0</v>
      </c>
      <c r="U642" s="5">
        <f>SUM(S642:S642)</f>
        <v>0</v>
      </c>
      <c r="V642" s="5">
        <v>0</v>
      </c>
      <c r="W642" s="5">
        <v>7500</v>
      </c>
      <c r="X642" s="5">
        <v>500</v>
      </c>
      <c r="Y642" s="5">
        <v>8000</v>
      </c>
      <c r="Z642" s="5">
        <f t="shared" si="89"/>
        <v>8000</v>
      </c>
      <c r="AA642" s="20">
        <f t="shared" si="92"/>
        <v>0</v>
      </c>
    </row>
    <row r="643" spans="1:27" ht="12.75">
      <c r="A643" s="3" t="s">
        <v>1936</v>
      </c>
      <c r="B643" s="3" t="s">
        <v>898</v>
      </c>
      <c r="C643" s="3" t="s">
        <v>932</v>
      </c>
      <c r="D643" s="3" t="s">
        <v>968</v>
      </c>
      <c r="E643" s="3" t="s">
        <v>3191</v>
      </c>
      <c r="F643" s="3" t="s">
        <v>970</v>
      </c>
      <c r="G643" s="3" t="s">
        <v>1591</v>
      </c>
      <c r="H643" s="3" t="s">
        <v>1592</v>
      </c>
      <c r="I643" s="3" t="s">
        <v>2164</v>
      </c>
      <c r="J643" s="4">
        <v>0</v>
      </c>
      <c r="K643" s="4">
        <v>0</v>
      </c>
      <c r="L643" s="4">
        <v>0</v>
      </c>
      <c r="M643" s="4">
        <v>0</v>
      </c>
      <c r="N643" s="5">
        <v>0</v>
      </c>
      <c r="O643" s="5">
        <v>0</v>
      </c>
      <c r="P643" s="5">
        <v>0</v>
      </c>
      <c r="Q643" s="5">
        <v>0</v>
      </c>
      <c r="R643" s="5">
        <v>0</v>
      </c>
      <c r="S643" s="5">
        <v>0</v>
      </c>
      <c r="T643" s="5">
        <f t="shared" si="88"/>
        <v>0</v>
      </c>
      <c r="U643" s="5">
        <v>500</v>
      </c>
      <c r="V643" s="5">
        <v>0</v>
      </c>
      <c r="W643" s="5">
        <v>3000</v>
      </c>
      <c r="X643" s="5">
        <v>500</v>
      </c>
      <c r="Y643" s="5">
        <v>4000</v>
      </c>
      <c r="Z643" s="5">
        <f t="shared" si="89"/>
        <v>4000</v>
      </c>
      <c r="AA643" s="20">
        <f t="shared" si="92"/>
        <v>0</v>
      </c>
    </row>
    <row r="644" spans="1:27" ht="12.75">
      <c r="A644" s="3" t="s">
        <v>1699</v>
      </c>
      <c r="B644" s="3" t="s">
        <v>898</v>
      </c>
      <c r="C644" s="3" t="s">
        <v>932</v>
      </c>
      <c r="D644" s="3" t="s">
        <v>971</v>
      </c>
      <c r="E644" s="3" t="s">
        <v>3191</v>
      </c>
      <c r="F644" s="3" t="s">
        <v>973</v>
      </c>
      <c r="G644" s="3" t="s">
        <v>1591</v>
      </c>
      <c r="H644" s="3" t="s">
        <v>1592</v>
      </c>
      <c r="I644" s="3" t="s">
        <v>972</v>
      </c>
      <c r="J644" s="4">
        <v>0</v>
      </c>
      <c r="K644" s="4">
        <v>0</v>
      </c>
      <c r="L644" s="4">
        <v>0</v>
      </c>
      <c r="M644" s="4">
        <v>0</v>
      </c>
      <c r="N644" s="5">
        <v>0</v>
      </c>
      <c r="O644" s="5">
        <v>0</v>
      </c>
      <c r="P644" s="5">
        <v>0</v>
      </c>
      <c r="Q644" s="5">
        <v>0</v>
      </c>
      <c r="R644" s="5">
        <v>0</v>
      </c>
      <c r="S644" s="5">
        <v>200</v>
      </c>
      <c r="T644" s="5">
        <f t="shared" si="88"/>
        <v>0</v>
      </c>
      <c r="U644" s="5">
        <f>200+7300</f>
        <v>7500</v>
      </c>
      <c r="V644" s="5">
        <v>0</v>
      </c>
      <c r="W644" s="5">
        <v>0</v>
      </c>
      <c r="X644" s="5">
        <v>100</v>
      </c>
      <c r="Y644" s="5">
        <v>7600</v>
      </c>
      <c r="Z644" s="5">
        <f t="shared" si="89"/>
        <v>7600</v>
      </c>
      <c r="AA644" s="20">
        <f t="shared" si="92"/>
        <v>0</v>
      </c>
    </row>
    <row r="645" spans="1:27" ht="12.75">
      <c r="A645" s="3" t="s">
        <v>2912</v>
      </c>
      <c r="B645" s="3" t="s">
        <v>898</v>
      </c>
      <c r="C645" s="3" t="s">
        <v>932</v>
      </c>
      <c r="D645" s="3" t="s">
        <v>974</v>
      </c>
      <c r="E645" s="3" t="s">
        <v>948</v>
      </c>
      <c r="F645" s="3" t="s">
        <v>976</v>
      </c>
      <c r="G645" s="3" t="s">
        <v>1591</v>
      </c>
      <c r="H645" s="3" t="s">
        <v>1592</v>
      </c>
      <c r="I645" s="3" t="s">
        <v>975</v>
      </c>
      <c r="J645" s="4">
        <v>0</v>
      </c>
      <c r="K645" s="4">
        <v>0</v>
      </c>
      <c r="L645" s="4">
        <v>7.1</v>
      </c>
      <c r="M645" s="4">
        <v>0</v>
      </c>
      <c r="N645" s="5">
        <v>163276</v>
      </c>
      <c r="O645" s="5">
        <v>15000</v>
      </c>
      <c r="P645" s="5">
        <v>10000</v>
      </c>
      <c r="Q645" s="5">
        <v>0</v>
      </c>
      <c r="R645" s="5">
        <v>63919</v>
      </c>
      <c r="S645" s="5">
        <v>15000</v>
      </c>
      <c r="T645" s="5">
        <f t="shared" si="88"/>
        <v>252195</v>
      </c>
      <c r="U645" s="5">
        <f>15000+236000</f>
        <v>251000</v>
      </c>
      <c r="V645" s="5">
        <v>0</v>
      </c>
      <c r="W645" s="5">
        <v>100</v>
      </c>
      <c r="X645" s="5">
        <v>7500</v>
      </c>
      <c r="Y645" s="5">
        <v>510795</v>
      </c>
      <c r="Z645" s="5">
        <f t="shared" si="89"/>
        <v>510795</v>
      </c>
      <c r="AA645" s="20">
        <f t="shared" si="92"/>
        <v>0</v>
      </c>
    </row>
    <row r="646" spans="1:27" ht="12.75">
      <c r="A646" s="3" t="s">
        <v>1968</v>
      </c>
      <c r="B646" s="3" t="s">
        <v>898</v>
      </c>
      <c r="C646" s="3" t="s">
        <v>932</v>
      </c>
      <c r="D646" s="3" t="s">
        <v>977</v>
      </c>
      <c r="E646" s="3" t="s">
        <v>3191</v>
      </c>
      <c r="F646" s="3" t="s">
        <v>979</v>
      </c>
      <c r="G646" s="3" t="s">
        <v>1591</v>
      </c>
      <c r="H646" s="3" t="s">
        <v>1592</v>
      </c>
      <c r="I646" s="3" t="s">
        <v>978</v>
      </c>
      <c r="J646" s="4">
        <v>0</v>
      </c>
      <c r="K646" s="4">
        <v>0</v>
      </c>
      <c r="L646" s="4">
        <v>0</v>
      </c>
      <c r="M646" s="4">
        <v>0</v>
      </c>
      <c r="N646" s="5">
        <v>0</v>
      </c>
      <c r="O646" s="5">
        <v>0</v>
      </c>
      <c r="P646" s="5">
        <v>0</v>
      </c>
      <c r="Q646" s="5">
        <v>0</v>
      </c>
      <c r="R646" s="5">
        <v>2436</v>
      </c>
      <c r="S646" s="5">
        <v>0</v>
      </c>
      <c r="T646" s="5">
        <f t="shared" si="88"/>
        <v>2436</v>
      </c>
      <c r="U646" s="5">
        <f>SUM(S646:S646)</f>
        <v>0</v>
      </c>
      <c r="V646" s="5">
        <v>0</v>
      </c>
      <c r="W646" s="5">
        <v>0</v>
      </c>
      <c r="X646" s="5">
        <v>0</v>
      </c>
      <c r="Y646" s="5">
        <v>2436</v>
      </c>
      <c r="Z646" s="5">
        <f t="shared" si="89"/>
        <v>2436</v>
      </c>
      <c r="AA646" s="20">
        <f t="shared" si="92"/>
        <v>0</v>
      </c>
    </row>
    <row r="647" spans="1:27" ht="12.75">
      <c r="A647" s="3" t="s">
        <v>1699</v>
      </c>
      <c r="B647" s="3" t="s">
        <v>898</v>
      </c>
      <c r="C647" s="3" t="s">
        <v>932</v>
      </c>
      <c r="D647" s="3" t="s">
        <v>980</v>
      </c>
      <c r="E647" s="3" t="s">
        <v>3191</v>
      </c>
      <c r="F647" s="3" t="s">
        <v>982</v>
      </c>
      <c r="G647" s="3" t="s">
        <v>1591</v>
      </c>
      <c r="H647" s="3" t="s">
        <v>1592</v>
      </c>
      <c r="I647" s="3" t="s">
        <v>981</v>
      </c>
      <c r="J647" s="4">
        <v>0</v>
      </c>
      <c r="K647" s="4">
        <v>0</v>
      </c>
      <c r="L647" s="4">
        <v>0.806</v>
      </c>
      <c r="M647" s="4">
        <v>0</v>
      </c>
      <c r="N647" s="5">
        <v>21444</v>
      </c>
      <c r="O647" s="5">
        <v>0</v>
      </c>
      <c r="P647" s="5">
        <v>11583</v>
      </c>
      <c r="Q647" s="5">
        <v>0</v>
      </c>
      <c r="R647" s="5">
        <v>2500</v>
      </c>
      <c r="S647" s="5">
        <v>0</v>
      </c>
      <c r="T647" s="5">
        <f t="shared" si="88"/>
        <v>35527</v>
      </c>
      <c r="U647" s="5">
        <f>SUM(S647:S647)</f>
        <v>0</v>
      </c>
      <c r="V647" s="5">
        <v>0</v>
      </c>
      <c r="W647" s="5">
        <v>0</v>
      </c>
      <c r="X647" s="5">
        <v>0</v>
      </c>
      <c r="Y647" s="5">
        <v>35527</v>
      </c>
      <c r="Z647" s="5">
        <f t="shared" si="89"/>
        <v>35527</v>
      </c>
      <c r="AA647" s="20">
        <f t="shared" si="92"/>
        <v>0</v>
      </c>
    </row>
    <row r="648" spans="1:27" ht="12.75">
      <c r="A648" s="3" t="s">
        <v>2912</v>
      </c>
      <c r="B648" s="3" t="s">
        <v>898</v>
      </c>
      <c r="C648" s="3" t="s">
        <v>932</v>
      </c>
      <c r="D648" s="3" t="s">
        <v>983</v>
      </c>
      <c r="E648" s="3" t="s">
        <v>948</v>
      </c>
      <c r="F648" s="3" t="s">
        <v>985</v>
      </c>
      <c r="G648" s="3" t="s">
        <v>1591</v>
      </c>
      <c r="H648" s="3" t="s">
        <v>1592</v>
      </c>
      <c r="I648" s="3" t="s">
        <v>984</v>
      </c>
      <c r="J648" s="4">
        <v>0</v>
      </c>
      <c r="K648" s="4">
        <v>0</v>
      </c>
      <c r="L648" s="4">
        <v>3.75</v>
      </c>
      <c r="M648" s="4">
        <v>0</v>
      </c>
      <c r="N648" s="5">
        <v>101287</v>
      </c>
      <c r="O648" s="5">
        <v>0</v>
      </c>
      <c r="P648" s="5">
        <v>15000</v>
      </c>
      <c r="Q648" s="5">
        <v>0</v>
      </c>
      <c r="R648" s="5">
        <v>25266</v>
      </c>
      <c r="S648" s="5">
        <v>7500</v>
      </c>
      <c r="T648" s="5">
        <f t="shared" si="88"/>
        <v>141553</v>
      </c>
      <c r="U648" s="5">
        <f>7500+8700</f>
        <v>16200</v>
      </c>
      <c r="V648" s="5">
        <v>0</v>
      </c>
      <c r="W648" s="5">
        <v>0</v>
      </c>
      <c r="X648" s="5">
        <v>2500</v>
      </c>
      <c r="Y648" s="5">
        <v>160253</v>
      </c>
      <c r="Z648" s="5">
        <f t="shared" si="89"/>
        <v>160253</v>
      </c>
      <c r="AA648" s="20">
        <f t="shared" si="92"/>
        <v>0</v>
      </c>
    </row>
    <row r="649" spans="1:27" ht="12.75">
      <c r="A649" s="3" t="s">
        <v>1751</v>
      </c>
      <c r="B649" s="3" t="s">
        <v>898</v>
      </c>
      <c r="C649" s="3" t="s">
        <v>932</v>
      </c>
      <c r="D649" s="3" t="s">
        <v>986</v>
      </c>
      <c r="E649" s="3" t="s">
        <v>3191</v>
      </c>
      <c r="F649" s="3" t="s">
        <v>988</v>
      </c>
      <c r="G649" s="3" t="s">
        <v>1591</v>
      </c>
      <c r="H649" s="3" t="s">
        <v>1592</v>
      </c>
      <c r="I649" s="3" t="s">
        <v>987</v>
      </c>
      <c r="J649" s="4">
        <v>0</v>
      </c>
      <c r="K649" s="4">
        <v>0</v>
      </c>
      <c r="L649" s="4">
        <v>1</v>
      </c>
      <c r="M649" s="4">
        <v>0</v>
      </c>
      <c r="N649" s="5">
        <v>25164</v>
      </c>
      <c r="O649" s="5">
        <v>0</v>
      </c>
      <c r="P649" s="5">
        <v>0</v>
      </c>
      <c r="Q649" s="5">
        <v>0</v>
      </c>
      <c r="R649" s="5">
        <v>0</v>
      </c>
      <c r="S649" s="5">
        <v>5862</v>
      </c>
      <c r="T649" s="5">
        <f t="shared" si="88"/>
        <v>25164</v>
      </c>
      <c r="U649" s="5">
        <f>5862+23583</f>
        <v>29445</v>
      </c>
      <c r="V649" s="5">
        <v>1272</v>
      </c>
      <c r="W649" s="5">
        <v>0</v>
      </c>
      <c r="X649" s="5">
        <v>11697</v>
      </c>
      <c r="Y649" s="5">
        <v>67578</v>
      </c>
      <c r="Z649" s="5">
        <f t="shared" si="89"/>
        <v>67578</v>
      </c>
      <c r="AA649" s="20">
        <f t="shared" si="92"/>
        <v>0</v>
      </c>
    </row>
    <row r="650" spans="1:27" ht="12.75">
      <c r="A650" s="3" t="s">
        <v>1908</v>
      </c>
      <c r="B650" s="3" t="s">
        <v>898</v>
      </c>
      <c r="C650" s="3" t="s">
        <v>932</v>
      </c>
      <c r="D650" s="3" t="s">
        <v>989</v>
      </c>
      <c r="E650" s="3" t="s">
        <v>941</v>
      </c>
      <c r="F650" s="3" t="s">
        <v>991</v>
      </c>
      <c r="G650" s="3" t="s">
        <v>1591</v>
      </c>
      <c r="H650" s="3" t="s">
        <v>1592</v>
      </c>
      <c r="I650" s="3" t="s">
        <v>990</v>
      </c>
      <c r="J650" s="4">
        <v>0</v>
      </c>
      <c r="K650" s="4">
        <v>0</v>
      </c>
      <c r="L650" s="4">
        <v>0</v>
      </c>
      <c r="M650" s="4">
        <v>0</v>
      </c>
      <c r="N650" s="5">
        <v>0</v>
      </c>
      <c r="O650" s="5">
        <v>0</v>
      </c>
      <c r="P650" s="5">
        <v>160</v>
      </c>
      <c r="Q650" s="5">
        <v>0</v>
      </c>
      <c r="R650" s="5">
        <v>0</v>
      </c>
      <c r="S650" s="5">
        <v>0</v>
      </c>
      <c r="T650" s="5">
        <f t="shared" si="88"/>
        <v>160</v>
      </c>
      <c r="U650" s="5">
        <v>27748</v>
      </c>
      <c r="V650" s="5">
        <v>0</v>
      </c>
      <c r="W650" s="5">
        <v>0</v>
      </c>
      <c r="X650" s="5">
        <v>0</v>
      </c>
      <c r="Y650" s="5">
        <v>27908</v>
      </c>
      <c r="Z650" s="5">
        <f t="shared" si="89"/>
        <v>27908</v>
      </c>
      <c r="AA650" s="20">
        <f t="shared" si="92"/>
        <v>0</v>
      </c>
    </row>
    <row r="651" spans="1:27" ht="12.75">
      <c r="A651" s="3" t="s">
        <v>1936</v>
      </c>
      <c r="B651" s="3" t="s">
        <v>898</v>
      </c>
      <c r="C651" s="3" t="s">
        <v>932</v>
      </c>
      <c r="D651" s="3" t="s">
        <v>992</v>
      </c>
      <c r="E651" s="3" t="s">
        <v>3191</v>
      </c>
      <c r="F651" s="3" t="s">
        <v>994</v>
      </c>
      <c r="G651" s="3" t="s">
        <v>1591</v>
      </c>
      <c r="H651" s="3" t="s">
        <v>1592</v>
      </c>
      <c r="I651" s="3" t="s">
        <v>2165</v>
      </c>
      <c r="J651" s="4">
        <v>0</v>
      </c>
      <c r="K651" s="4">
        <v>0.382</v>
      </c>
      <c r="L651" s="4">
        <v>0</v>
      </c>
      <c r="M651" s="4">
        <v>0</v>
      </c>
      <c r="N651" s="5">
        <v>20172</v>
      </c>
      <c r="O651" s="5">
        <v>0</v>
      </c>
      <c r="P651" s="5">
        <v>0</v>
      </c>
      <c r="Q651" s="5">
        <v>0</v>
      </c>
      <c r="R651" s="5">
        <v>2480</v>
      </c>
      <c r="S651" s="5">
        <v>0</v>
      </c>
      <c r="T651" s="5">
        <f t="shared" si="88"/>
        <v>22652</v>
      </c>
      <c r="U651" s="5">
        <f>SUM(S651:S651)</f>
        <v>0</v>
      </c>
      <c r="V651" s="5">
        <v>0</v>
      </c>
      <c r="W651" s="5">
        <v>0</v>
      </c>
      <c r="X651" s="5">
        <v>0</v>
      </c>
      <c r="Y651" s="5">
        <v>22652</v>
      </c>
      <c r="Z651" s="5">
        <f t="shared" si="89"/>
        <v>22652</v>
      </c>
      <c r="AA651" s="20">
        <f t="shared" si="92"/>
        <v>0</v>
      </c>
    </row>
    <row r="652" spans="1:27" ht="12.75">
      <c r="A652" s="3" t="s">
        <v>1751</v>
      </c>
      <c r="B652" s="3" t="s">
        <v>898</v>
      </c>
      <c r="C652" s="3" t="s">
        <v>932</v>
      </c>
      <c r="D652" s="3" t="s">
        <v>995</v>
      </c>
      <c r="E652" s="3" t="s">
        <v>3191</v>
      </c>
      <c r="F652" s="3" t="s">
        <v>997</v>
      </c>
      <c r="G652" s="3" t="s">
        <v>1591</v>
      </c>
      <c r="H652" s="3" t="s">
        <v>1592</v>
      </c>
      <c r="I652" s="3" t="s">
        <v>996</v>
      </c>
      <c r="J652" s="4">
        <v>0</v>
      </c>
      <c r="K652" s="4">
        <v>0</v>
      </c>
      <c r="L652" s="4">
        <v>0</v>
      </c>
      <c r="M652" s="4">
        <v>0</v>
      </c>
      <c r="N652" s="5">
        <v>0</v>
      </c>
      <c r="O652" s="5">
        <v>0</v>
      </c>
      <c r="P652" s="5">
        <v>0</v>
      </c>
      <c r="Q652" s="5">
        <v>0</v>
      </c>
      <c r="R652" s="5">
        <v>0</v>
      </c>
      <c r="S652" s="5">
        <v>0</v>
      </c>
      <c r="T652" s="5">
        <f t="shared" si="88"/>
        <v>0</v>
      </c>
      <c r="U652" s="5">
        <v>13099</v>
      </c>
      <c r="V652" s="5">
        <v>442</v>
      </c>
      <c r="W652" s="5">
        <v>0</v>
      </c>
      <c r="X652" s="5">
        <v>934</v>
      </c>
      <c r="Y652" s="5">
        <v>14475</v>
      </c>
      <c r="Z652" s="5">
        <f t="shared" si="89"/>
        <v>14475</v>
      </c>
      <c r="AA652" s="20">
        <f t="shared" si="92"/>
        <v>0</v>
      </c>
    </row>
    <row r="653" spans="1:27" ht="12.75">
      <c r="A653" s="3" t="s">
        <v>2819</v>
      </c>
      <c r="B653" s="3" t="s">
        <v>898</v>
      </c>
      <c r="C653" s="3" t="s">
        <v>932</v>
      </c>
      <c r="D653" s="3" t="s">
        <v>998</v>
      </c>
      <c r="E653" s="3" t="s">
        <v>941</v>
      </c>
      <c r="F653" s="3" t="s">
        <v>1000</v>
      </c>
      <c r="G653" s="3" t="s">
        <v>1591</v>
      </c>
      <c r="H653" s="3" t="s">
        <v>1592</v>
      </c>
      <c r="I653" s="3" t="s">
        <v>2166</v>
      </c>
      <c r="J653" s="4">
        <v>0</v>
      </c>
      <c r="K653" s="4">
        <v>0</v>
      </c>
      <c r="L653" s="4">
        <v>2.473</v>
      </c>
      <c r="M653" s="4">
        <v>0</v>
      </c>
      <c r="N653" s="5">
        <v>89634</v>
      </c>
      <c r="O653" s="5">
        <v>0</v>
      </c>
      <c r="P653" s="5">
        <v>0</v>
      </c>
      <c r="Q653" s="5">
        <v>0</v>
      </c>
      <c r="R653" s="5">
        <v>19540</v>
      </c>
      <c r="S653" s="5">
        <v>0</v>
      </c>
      <c r="T653" s="5">
        <f t="shared" si="88"/>
        <v>109174</v>
      </c>
      <c r="U653" s="5">
        <f>SUM(S653:S653)</f>
        <v>0</v>
      </c>
      <c r="V653" s="5">
        <v>0</v>
      </c>
      <c r="W653" s="5">
        <v>0</v>
      </c>
      <c r="X653" s="5">
        <v>0</v>
      </c>
      <c r="Y653" s="5">
        <v>109174</v>
      </c>
      <c r="Z653" s="5">
        <f t="shared" si="89"/>
        <v>109174</v>
      </c>
      <c r="AA653" s="20">
        <f t="shared" si="92"/>
        <v>0</v>
      </c>
    </row>
    <row r="654" spans="1:27" ht="12.75">
      <c r="A654" s="3" t="s">
        <v>2912</v>
      </c>
      <c r="B654" s="3" t="s">
        <v>898</v>
      </c>
      <c r="C654" s="3" t="s">
        <v>932</v>
      </c>
      <c r="D654" s="3" t="s">
        <v>1001</v>
      </c>
      <c r="E654" s="3" t="s">
        <v>948</v>
      </c>
      <c r="F654" s="3" t="s">
        <v>1003</v>
      </c>
      <c r="G654" s="3" t="s">
        <v>1591</v>
      </c>
      <c r="H654" s="3" t="s">
        <v>1592</v>
      </c>
      <c r="I654" s="3" t="s">
        <v>1002</v>
      </c>
      <c r="J654" s="4">
        <v>0</v>
      </c>
      <c r="K654" s="4">
        <v>0</v>
      </c>
      <c r="L654" s="4">
        <v>0</v>
      </c>
      <c r="M654" s="4">
        <v>0</v>
      </c>
      <c r="N654" s="5">
        <v>0</v>
      </c>
      <c r="O654" s="5">
        <v>0</v>
      </c>
      <c r="P654" s="5">
        <v>0</v>
      </c>
      <c r="Q654" s="5">
        <v>0</v>
      </c>
      <c r="R654" s="5">
        <v>0</v>
      </c>
      <c r="S654" s="5">
        <v>0</v>
      </c>
      <c r="T654" s="5">
        <f t="shared" si="88"/>
        <v>0</v>
      </c>
      <c r="U654" s="5">
        <v>825000</v>
      </c>
      <c r="V654" s="5">
        <v>0</v>
      </c>
      <c r="W654" s="5">
        <v>0</v>
      </c>
      <c r="X654" s="5">
        <v>0</v>
      </c>
      <c r="Y654" s="5">
        <v>825000</v>
      </c>
      <c r="Z654" s="5">
        <f t="shared" si="89"/>
        <v>825000</v>
      </c>
      <c r="AA654" s="20">
        <f t="shared" si="92"/>
        <v>0</v>
      </c>
    </row>
    <row r="655" spans="1:27" ht="12.75">
      <c r="A655" s="3" t="s">
        <v>2770</v>
      </c>
      <c r="B655" s="3" t="s">
        <v>898</v>
      </c>
      <c r="C655" s="3" t="s">
        <v>932</v>
      </c>
      <c r="D655" s="3" t="s">
        <v>1004</v>
      </c>
      <c r="E655" s="3" t="s">
        <v>948</v>
      </c>
      <c r="F655" s="3" t="s">
        <v>1006</v>
      </c>
      <c r="G655" s="3" t="s">
        <v>1591</v>
      </c>
      <c r="H655" s="3" t="s">
        <v>1592</v>
      </c>
      <c r="I655" s="3" t="s">
        <v>1005</v>
      </c>
      <c r="J655" s="4">
        <v>0</v>
      </c>
      <c r="K655" s="4">
        <v>0</v>
      </c>
      <c r="L655" s="4">
        <v>40</v>
      </c>
      <c r="M655" s="4">
        <v>0</v>
      </c>
      <c r="N655" s="5">
        <v>1055604</v>
      </c>
      <c r="O655" s="5">
        <v>0</v>
      </c>
      <c r="P655" s="5">
        <v>5000</v>
      </c>
      <c r="Q655" s="5">
        <v>0</v>
      </c>
      <c r="R655" s="5">
        <v>267577</v>
      </c>
      <c r="S655" s="5">
        <v>0</v>
      </c>
      <c r="T655" s="5">
        <f t="shared" si="88"/>
        <v>1328181</v>
      </c>
      <c r="U655" s="5">
        <f>SUM(S655:S655)</f>
        <v>0</v>
      </c>
      <c r="V655" s="5">
        <v>0</v>
      </c>
      <c r="W655" s="5">
        <v>0</v>
      </c>
      <c r="X655" s="5">
        <v>0</v>
      </c>
      <c r="Y655" s="5">
        <v>1328181</v>
      </c>
      <c r="Z655" s="5">
        <f t="shared" si="89"/>
        <v>1328181</v>
      </c>
      <c r="AA655" s="20">
        <f t="shared" si="92"/>
        <v>0</v>
      </c>
    </row>
    <row r="656" spans="1:27" ht="12.75">
      <c r="A656" s="3" t="s">
        <v>2770</v>
      </c>
      <c r="B656" s="3" t="s">
        <v>898</v>
      </c>
      <c r="C656" s="3" t="s">
        <v>932</v>
      </c>
      <c r="D656" s="3" t="s">
        <v>1007</v>
      </c>
      <c r="E656" s="3" t="s">
        <v>948</v>
      </c>
      <c r="F656" s="3" t="s">
        <v>1009</v>
      </c>
      <c r="G656" s="3" t="s">
        <v>1591</v>
      </c>
      <c r="H656" s="3" t="s">
        <v>1592</v>
      </c>
      <c r="I656" s="3" t="s">
        <v>1008</v>
      </c>
      <c r="J656" s="4">
        <v>0</v>
      </c>
      <c r="K656" s="4">
        <v>0</v>
      </c>
      <c r="L656" s="4">
        <v>5</v>
      </c>
      <c r="M656" s="4">
        <v>0</v>
      </c>
      <c r="N656" s="5">
        <v>83412</v>
      </c>
      <c r="O656" s="5">
        <v>0</v>
      </c>
      <c r="P656" s="5">
        <v>3000</v>
      </c>
      <c r="Q656" s="5">
        <v>0</v>
      </c>
      <c r="R656" s="5">
        <v>23826</v>
      </c>
      <c r="S656" s="5">
        <v>6000</v>
      </c>
      <c r="T656" s="5">
        <f t="shared" si="88"/>
        <v>110238</v>
      </c>
      <c r="U656" s="5">
        <f>6000+10000</f>
        <v>16000</v>
      </c>
      <c r="V656" s="5">
        <v>0</v>
      </c>
      <c r="W656" s="5">
        <v>0</v>
      </c>
      <c r="X656" s="5">
        <v>0</v>
      </c>
      <c r="Y656" s="5">
        <v>126238</v>
      </c>
      <c r="Z656" s="5">
        <f t="shared" si="89"/>
        <v>126238</v>
      </c>
      <c r="AA656" s="20">
        <f t="shared" si="92"/>
        <v>0</v>
      </c>
    </row>
    <row r="657" spans="1:27" ht="12.75">
      <c r="A657" s="3" t="s">
        <v>1936</v>
      </c>
      <c r="B657" s="3" t="s">
        <v>898</v>
      </c>
      <c r="C657" s="3" t="s">
        <v>932</v>
      </c>
      <c r="D657" s="3" t="s">
        <v>1010</v>
      </c>
      <c r="E657" s="3" t="s">
        <v>3191</v>
      </c>
      <c r="F657" s="3" t="s">
        <v>1012</v>
      </c>
      <c r="G657" s="3" t="s">
        <v>1591</v>
      </c>
      <c r="H657" s="3" t="s">
        <v>1592</v>
      </c>
      <c r="I657" s="3" t="s">
        <v>1011</v>
      </c>
      <c r="J657" s="4">
        <v>0</v>
      </c>
      <c r="K657" s="4">
        <v>0</v>
      </c>
      <c r="L657" s="4">
        <v>0</v>
      </c>
      <c r="M657" s="4">
        <v>0</v>
      </c>
      <c r="N657" s="5">
        <v>0</v>
      </c>
      <c r="O657" s="5">
        <v>0</v>
      </c>
      <c r="P657" s="5">
        <v>20525</v>
      </c>
      <c r="Q657" s="5">
        <v>0</v>
      </c>
      <c r="R657" s="5">
        <v>0</v>
      </c>
      <c r="S657" s="5">
        <v>0</v>
      </c>
      <c r="T657" s="5">
        <f t="shared" si="88"/>
        <v>20525</v>
      </c>
      <c r="U657" s="5">
        <f>SUM(S657:S657)</f>
        <v>0</v>
      </c>
      <c r="V657" s="5">
        <v>0</v>
      </c>
      <c r="W657" s="5">
        <v>0</v>
      </c>
      <c r="X657" s="5">
        <v>0</v>
      </c>
      <c r="Y657" s="5">
        <v>20525</v>
      </c>
      <c r="Z657" s="5">
        <f t="shared" si="89"/>
        <v>20525</v>
      </c>
      <c r="AA657" s="20">
        <f t="shared" si="92"/>
        <v>0</v>
      </c>
    </row>
    <row r="658" spans="1:27" ht="12.75">
      <c r="A658" s="3" t="s">
        <v>1751</v>
      </c>
      <c r="B658" s="3" t="s">
        <v>898</v>
      </c>
      <c r="C658" s="3" t="s">
        <v>932</v>
      </c>
      <c r="D658" s="3" t="s">
        <v>1013</v>
      </c>
      <c r="E658" s="3" t="s">
        <v>3191</v>
      </c>
      <c r="F658" s="3" t="s">
        <v>1015</v>
      </c>
      <c r="G658" s="3" t="s">
        <v>1591</v>
      </c>
      <c r="H658" s="3" t="s">
        <v>1592</v>
      </c>
      <c r="I658" s="3" t="s">
        <v>2167</v>
      </c>
      <c r="J658" s="4">
        <v>0</v>
      </c>
      <c r="K658" s="4">
        <v>0</v>
      </c>
      <c r="L658" s="4">
        <v>1</v>
      </c>
      <c r="M658" s="4">
        <v>0</v>
      </c>
      <c r="N658" s="5">
        <v>24600</v>
      </c>
      <c r="O658" s="5">
        <v>0</v>
      </c>
      <c r="P658" s="5">
        <v>0</v>
      </c>
      <c r="Q658" s="5">
        <v>0</v>
      </c>
      <c r="R658" s="5">
        <v>0</v>
      </c>
      <c r="S658" s="5">
        <v>17476</v>
      </c>
      <c r="T658" s="5">
        <f t="shared" si="88"/>
        <v>24600</v>
      </c>
      <c r="U658" s="5">
        <v>19074</v>
      </c>
      <c r="V658" s="5">
        <v>0</v>
      </c>
      <c r="W658" s="5">
        <v>320</v>
      </c>
      <c r="X658" s="5">
        <v>3036</v>
      </c>
      <c r="Y658" s="5">
        <v>47030</v>
      </c>
      <c r="Z658" s="5">
        <f t="shared" si="89"/>
        <v>47030</v>
      </c>
      <c r="AA658" s="20">
        <f t="shared" si="92"/>
        <v>0</v>
      </c>
    </row>
    <row r="659" spans="1:27" ht="12.75">
      <c r="A659" s="3" t="s">
        <v>1751</v>
      </c>
      <c r="B659" s="3" t="s">
        <v>898</v>
      </c>
      <c r="C659" s="3" t="s">
        <v>932</v>
      </c>
      <c r="D659" s="3" t="s">
        <v>1016</v>
      </c>
      <c r="E659" s="3" t="s">
        <v>941</v>
      </c>
      <c r="F659" s="3" t="s">
        <v>1018</v>
      </c>
      <c r="G659" s="3" t="s">
        <v>1591</v>
      </c>
      <c r="H659" s="3" t="s">
        <v>1592</v>
      </c>
      <c r="I659" s="3" t="s">
        <v>2168</v>
      </c>
      <c r="J659" s="4">
        <v>0</v>
      </c>
      <c r="K659" s="4">
        <v>0</v>
      </c>
      <c r="L659" s="4">
        <v>0</v>
      </c>
      <c r="M659" s="4">
        <v>0</v>
      </c>
      <c r="N659" s="5">
        <v>0</v>
      </c>
      <c r="O659" s="5">
        <v>0</v>
      </c>
      <c r="P659" s="5">
        <v>0</v>
      </c>
      <c r="Q659" s="5">
        <v>0</v>
      </c>
      <c r="R659" s="5">
        <v>0</v>
      </c>
      <c r="S659" s="5">
        <v>0</v>
      </c>
      <c r="T659" s="5">
        <f t="shared" si="88"/>
        <v>0</v>
      </c>
      <c r="U659" s="5">
        <v>14200</v>
      </c>
      <c r="V659" s="5">
        <v>0</v>
      </c>
      <c r="W659" s="5">
        <v>0</v>
      </c>
      <c r="X659" s="5">
        <v>0</v>
      </c>
      <c r="Y659" s="5">
        <v>14200</v>
      </c>
      <c r="Z659" s="5">
        <f t="shared" si="89"/>
        <v>14200</v>
      </c>
      <c r="AA659" s="20">
        <f t="shared" si="92"/>
        <v>0</v>
      </c>
    </row>
    <row r="660" spans="1:27" ht="12.75">
      <c r="A660" s="3" t="s">
        <v>2916</v>
      </c>
      <c r="B660" s="3" t="s">
        <v>898</v>
      </c>
      <c r="C660" s="3" t="s">
        <v>932</v>
      </c>
      <c r="D660" s="3" t="s">
        <v>1019</v>
      </c>
      <c r="E660" s="3" t="s">
        <v>948</v>
      </c>
      <c r="F660" s="3" t="s">
        <v>1021</v>
      </c>
      <c r="G660" s="3" t="s">
        <v>1591</v>
      </c>
      <c r="H660" s="3" t="s">
        <v>1592</v>
      </c>
      <c r="I660" s="3" t="s">
        <v>1020</v>
      </c>
      <c r="J660" s="4">
        <v>0</v>
      </c>
      <c r="K660" s="4">
        <v>0</v>
      </c>
      <c r="L660" s="4">
        <v>3</v>
      </c>
      <c r="M660" s="4">
        <v>0</v>
      </c>
      <c r="N660" s="5">
        <v>81840</v>
      </c>
      <c r="O660" s="5">
        <v>4000</v>
      </c>
      <c r="P660" s="5">
        <v>4500</v>
      </c>
      <c r="Q660" s="5">
        <v>0</v>
      </c>
      <c r="R660" s="5">
        <v>25167</v>
      </c>
      <c r="S660" s="5">
        <v>5000</v>
      </c>
      <c r="T660" s="5">
        <f t="shared" si="88"/>
        <v>115507</v>
      </c>
      <c r="U660" s="5">
        <f>5000+4750</f>
        <v>9750</v>
      </c>
      <c r="V660" s="5">
        <v>0</v>
      </c>
      <c r="W660" s="5">
        <v>25</v>
      </c>
      <c r="X660" s="5">
        <v>200</v>
      </c>
      <c r="Y660" s="5">
        <v>125482</v>
      </c>
      <c r="Z660" s="5">
        <f t="shared" si="89"/>
        <v>125482</v>
      </c>
      <c r="AA660" s="20">
        <f aca="true" t="shared" si="93" ref="AA660:AA723">+Y660-Z660</f>
        <v>0</v>
      </c>
    </row>
    <row r="661" spans="1:27" ht="12.75">
      <c r="A661" s="3" t="s">
        <v>2698</v>
      </c>
      <c r="B661" s="3" t="s">
        <v>898</v>
      </c>
      <c r="C661" s="3" t="s">
        <v>932</v>
      </c>
      <c r="D661" s="3" t="s">
        <v>1022</v>
      </c>
      <c r="E661" s="3" t="s">
        <v>941</v>
      </c>
      <c r="F661" s="3" t="s">
        <v>1026</v>
      </c>
      <c r="G661" s="3" t="s">
        <v>1591</v>
      </c>
      <c r="H661" s="3" t="s">
        <v>1592</v>
      </c>
      <c r="I661" s="3" t="s">
        <v>1025</v>
      </c>
      <c r="J661" s="4">
        <v>0</v>
      </c>
      <c r="K661" s="4">
        <v>0</v>
      </c>
      <c r="L661" s="4">
        <v>0</v>
      </c>
      <c r="M661" s="4">
        <v>0.624</v>
      </c>
      <c r="N661" s="5">
        <v>35736</v>
      </c>
      <c r="O661" s="5">
        <v>0</v>
      </c>
      <c r="P661" s="5">
        <v>0</v>
      </c>
      <c r="Q661" s="5">
        <v>0</v>
      </c>
      <c r="R661" s="5">
        <v>6977</v>
      </c>
      <c r="S661" s="5">
        <v>0</v>
      </c>
      <c r="T661" s="5">
        <f t="shared" si="88"/>
        <v>42713</v>
      </c>
      <c r="U661" s="5">
        <f>SUM(S661:S661)</f>
        <v>0</v>
      </c>
      <c r="V661" s="5">
        <v>0</v>
      </c>
      <c r="W661" s="5">
        <v>0</v>
      </c>
      <c r="X661" s="5">
        <v>0</v>
      </c>
      <c r="Y661" s="5">
        <v>42713</v>
      </c>
      <c r="Z661" s="5">
        <f t="shared" si="89"/>
        <v>42713</v>
      </c>
      <c r="AA661" s="20">
        <f t="shared" si="93"/>
        <v>0</v>
      </c>
    </row>
    <row r="662" spans="1:27" ht="12.75">
      <c r="A662" s="3" t="s">
        <v>1751</v>
      </c>
      <c r="B662" s="3" t="s">
        <v>898</v>
      </c>
      <c r="C662" s="3" t="s">
        <v>932</v>
      </c>
      <c r="D662" s="3" t="s">
        <v>1027</v>
      </c>
      <c r="E662" s="3" t="s">
        <v>3191</v>
      </c>
      <c r="F662" s="3" t="s">
        <v>1029</v>
      </c>
      <c r="G662" s="3" t="s">
        <v>1591</v>
      </c>
      <c r="H662" s="3" t="s">
        <v>1592</v>
      </c>
      <c r="I662" s="3" t="s">
        <v>1028</v>
      </c>
      <c r="J662" s="4">
        <v>0</v>
      </c>
      <c r="K662" s="4">
        <v>0</v>
      </c>
      <c r="L662" s="4">
        <v>0</v>
      </c>
      <c r="M662" s="4">
        <v>0</v>
      </c>
      <c r="N662" s="5">
        <v>0</v>
      </c>
      <c r="O662" s="5">
        <v>0</v>
      </c>
      <c r="P662" s="5">
        <v>0</v>
      </c>
      <c r="Q662" s="5">
        <v>0</v>
      </c>
      <c r="R662" s="5">
        <v>0</v>
      </c>
      <c r="S662" s="5">
        <v>0</v>
      </c>
      <c r="T662" s="5">
        <f aca="true" t="shared" si="94" ref="T662:T725">SUM(N662:R662)</f>
        <v>0</v>
      </c>
      <c r="U662" s="5">
        <v>4607</v>
      </c>
      <c r="V662" s="5">
        <v>249</v>
      </c>
      <c r="W662" s="5">
        <v>0</v>
      </c>
      <c r="X662" s="5">
        <v>100</v>
      </c>
      <c r="Y662" s="5">
        <v>4956</v>
      </c>
      <c r="Z662" s="5">
        <f aca="true" t="shared" si="95" ref="Z662:Z725">SUM(T662:X662)</f>
        <v>4956</v>
      </c>
      <c r="AA662" s="20">
        <f t="shared" si="93"/>
        <v>0</v>
      </c>
    </row>
    <row r="663" spans="1:27" ht="12.75">
      <c r="A663" s="3" t="s">
        <v>2595</v>
      </c>
      <c r="B663" s="3" t="s">
        <v>898</v>
      </c>
      <c r="C663" s="3" t="s">
        <v>932</v>
      </c>
      <c r="D663" s="3" t="s">
        <v>1030</v>
      </c>
      <c r="E663" s="3" t="s">
        <v>3191</v>
      </c>
      <c r="F663" s="3" t="s">
        <v>1032</v>
      </c>
      <c r="G663" s="3" t="s">
        <v>1591</v>
      </c>
      <c r="H663" s="3" t="s">
        <v>1592</v>
      </c>
      <c r="I663" s="3" t="s">
        <v>1031</v>
      </c>
      <c r="J663" s="4">
        <v>0</v>
      </c>
      <c r="K663" s="4">
        <v>0</v>
      </c>
      <c r="L663" s="4">
        <v>0</v>
      </c>
      <c r="M663" s="4">
        <v>0</v>
      </c>
      <c r="N663" s="5">
        <v>0</v>
      </c>
      <c r="O663" s="5">
        <v>0</v>
      </c>
      <c r="P663" s="5">
        <v>0</v>
      </c>
      <c r="Q663" s="5">
        <v>0</v>
      </c>
      <c r="R663" s="5">
        <v>0</v>
      </c>
      <c r="S663" s="5">
        <v>125000</v>
      </c>
      <c r="T663" s="5">
        <f t="shared" si="94"/>
        <v>0</v>
      </c>
      <c r="U663" s="5">
        <f>125000+12500</f>
        <v>137500</v>
      </c>
      <c r="V663" s="5">
        <v>0</v>
      </c>
      <c r="W663" s="5">
        <v>0</v>
      </c>
      <c r="X663" s="5">
        <v>0</v>
      </c>
      <c r="Y663" s="5">
        <v>137500</v>
      </c>
      <c r="Z663" s="5">
        <f t="shared" si="95"/>
        <v>137500</v>
      </c>
      <c r="AA663" s="20">
        <f t="shared" si="93"/>
        <v>0</v>
      </c>
    </row>
    <row r="664" spans="1:27" ht="12.75">
      <c r="A664" s="3" t="s">
        <v>1936</v>
      </c>
      <c r="B664" s="3" t="s">
        <v>898</v>
      </c>
      <c r="C664" s="3" t="s">
        <v>932</v>
      </c>
      <c r="D664" s="3" t="s">
        <v>1033</v>
      </c>
      <c r="E664" s="3" t="s">
        <v>3191</v>
      </c>
      <c r="F664" s="3" t="s">
        <v>1035</v>
      </c>
      <c r="G664" s="3" t="s">
        <v>1591</v>
      </c>
      <c r="H664" s="3" t="s">
        <v>1592</v>
      </c>
      <c r="I664" s="3" t="s">
        <v>1034</v>
      </c>
      <c r="J664" s="4">
        <v>0</v>
      </c>
      <c r="K664" s="4">
        <v>0</v>
      </c>
      <c r="L664" s="4">
        <v>0</v>
      </c>
      <c r="M664" s="4">
        <v>0</v>
      </c>
      <c r="N664" s="5">
        <v>0</v>
      </c>
      <c r="O664" s="5">
        <v>0</v>
      </c>
      <c r="P664" s="5">
        <v>0</v>
      </c>
      <c r="Q664" s="5">
        <v>0</v>
      </c>
      <c r="R664" s="5">
        <v>0</v>
      </c>
      <c r="S664" s="5">
        <v>4000</v>
      </c>
      <c r="T664" s="5">
        <f t="shared" si="94"/>
        <v>0</v>
      </c>
      <c r="U664" s="5">
        <f>SUM(S664:S664)</f>
        <v>4000</v>
      </c>
      <c r="V664" s="5">
        <v>0</v>
      </c>
      <c r="W664" s="5">
        <v>0</v>
      </c>
      <c r="X664" s="5">
        <v>0</v>
      </c>
      <c r="Y664" s="5">
        <v>4000</v>
      </c>
      <c r="Z664" s="5">
        <f t="shared" si="95"/>
        <v>4000</v>
      </c>
      <c r="AA664" s="20">
        <f t="shared" si="93"/>
        <v>0</v>
      </c>
    </row>
    <row r="665" spans="1:27" ht="12.75">
      <c r="A665" s="3" t="s">
        <v>1936</v>
      </c>
      <c r="B665" s="3" t="s">
        <v>898</v>
      </c>
      <c r="C665" s="3" t="s">
        <v>932</v>
      </c>
      <c r="D665" s="3" t="s">
        <v>1036</v>
      </c>
      <c r="E665" s="3" t="s">
        <v>3191</v>
      </c>
      <c r="F665" s="3" t="s">
        <v>1038</v>
      </c>
      <c r="G665" s="3" t="s">
        <v>1591</v>
      </c>
      <c r="H665" s="3" t="s">
        <v>1592</v>
      </c>
      <c r="I665" s="3" t="s">
        <v>1037</v>
      </c>
      <c r="J665" s="4">
        <v>0</v>
      </c>
      <c r="K665" s="4">
        <v>0</v>
      </c>
      <c r="L665" s="4">
        <v>0</v>
      </c>
      <c r="M665" s="4">
        <v>0</v>
      </c>
      <c r="N665" s="5">
        <v>0</v>
      </c>
      <c r="O665" s="5">
        <v>0</v>
      </c>
      <c r="P665" s="5">
        <v>0</v>
      </c>
      <c r="Q665" s="5">
        <v>0</v>
      </c>
      <c r="R665" s="5">
        <v>0</v>
      </c>
      <c r="S665" s="5">
        <v>0</v>
      </c>
      <c r="T665" s="5">
        <f t="shared" si="94"/>
        <v>0</v>
      </c>
      <c r="U665" s="5">
        <v>100</v>
      </c>
      <c r="V665" s="5">
        <v>0</v>
      </c>
      <c r="W665" s="5">
        <v>0</v>
      </c>
      <c r="X665" s="5">
        <v>0</v>
      </c>
      <c r="Y665" s="5">
        <v>100</v>
      </c>
      <c r="Z665" s="5">
        <f t="shared" si="95"/>
        <v>100</v>
      </c>
      <c r="AA665" s="20">
        <f t="shared" si="93"/>
        <v>0</v>
      </c>
    </row>
    <row r="666" spans="1:27" ht="12.75">
      <c r="A666" s="3" t="s">
        <v>1751</v>
      </c>
      <c r="B666" s="3" t="s">
        <v>898</v>
      </c>
      <c r="C666" s="3" t="s">
        <v>932</v>
      </c>
      <c r="D666" s="3" t="s">
        <v>1039</v>
      </c>
      <c r="E666" s="3" t="s">
        <v>3191</v>
      </c>
      <c r="F666" s="3" t="s">
        <v>1041</v>
      </c>
      <c r="G666" s="3" t="s">
        <v>1591</v>
      </c>
      <c r="H666" s="3" t="s">
        <v>1592</v>
      </c>
      <c r="I666" s="3" t="s">
        <v>1040</v>
      </c>
      <c r="J666" s="4">
        <v>0</v>
      </c>
      <c r="K666" s="4">
        <v>0</v>
      </c>
      <c r="L666" s="4">
        <v>0</v>
      </c>
      <c r="M666" s="4">
        <v>0</v>
      </c>
      <c r="N666" s="5">
        <v>0</v>
      </c>
      <c r="O666" s="5">
        <v>0</v>
      </c>
      <c r="P666" s="5">
        <v>0</v>
      </c>
      <c r="Q666" s="5">
        <v>0</v>
      </c>
      <c r="R666" s="5">
        <v>0</v>
      </c>
      <c r="S666" s="5">
        <v>0</v>
      </c>
      <c r="T666" s="5">
        <f t="shared" si="94"/>
        <v>0</v>
      </c>
      <c r="U666" s="5">
        <v>3039</v>
      </c>
      <c r="V666" s="5">
        <v>0</v>
      </c>
      <c r="W666" s="5">
        <v>0</v>
      </c>
      <c r="X666" s="5">
        <v>4093</v>
      </c>
      <c r="Y666" s="5">
        <v>7132</v>
      </c>
      <c r="Z666" s="5">
        <f t="shared" si="95"/>
        <v>7132</v>
      </c>
      <c r="AA666" s="20">
        <f t="shared" si="93"/>
        <v>0</v>
      </c>
    </row>
    <row r="667" spans="1:27" ht="12.75">
      <c r="A667" s="3" t="s">
        <v>1751</v>
      </c>
      <c r="B667" s="3" t="s">
        <v>898</v>
      </c>
      <c r="C667" s="3" t="s">
        <v>932</v>
      </c>
      <c r="D667" s="3" t="s">
        <v>1042</v>
      </c>
      <c r="E667" s="3" t="s">
        <v>3191</v>
      </c>
      <c r="F667" s="3" t="s">
        <v>1044</v>
      </c>
      <c r="G667" s="3" t="s">
        <v>1591</v>
      </c>
      <c r="H667" s="3" t="s">
        <v>1592</v>
      </c>
      <c r="I667" s="3" t="s">
        <v>2169</v>
      </c>
      <c r="J667" s="4">
        <v>0</v>
      </c>
      <c r="K667" s="4">
        <v>0</v>
      </c>
      <c r="L667" s="4">
        <v>0</v>
      </c>
      <c r="M667" s="4">
        <v>0</v>
      </c>
      <c r="N667" s="5">
        <v>0</v>
      </c>
      <c r="O667" s="5">
        <v>0</v>
      </c>
      <c r="P667" s="5">
        <v>0</v>
      </c>
      <c r="Q667" s="5">
        <v>0</v>
      </c>
      <c r="R667" s="5">
        <v>0</v>
      </c>
      <c r="S667" s="5">
        <v>0</v>
      </c>
      <c r="T667" s="5">
        <f t="shared" si="94"/>
        <v>0</v>
      </c>
      <c r="U667" s="5">
        <v>122</v>
      </c>
      <c r="V667" s="5">
        <v>0</v>
      </c>
      <c r="W667" s="5">
        <v>0</v>
      </c>
      <c r="X667" s="5">
        <v>4711</v>
      </c>
      <c r="Y667" s="5">
        <v>4833</v>
      </c>
      <c r="Z667" s="5">
        <f t="shared" si="95"/>
        <v>4833</v>
      </c>
      <c r="AA667" s="20">
        <f t="shared" si="93"/>
        <v>0</v>
      </c>
    </row>
    <row r="668" spans="1:27" ht="12.75">
      <c r="A668" s="3" t="s">
        <v>2912</v>
      </c>
      <c r="B668" s="3" t="s">
        <v>898</v>
      </c>
      <c r="C668" s="3" t="s">
        <v>932</v>
      </c>
      <c r="D668" s="3" t="s">
        <v>1045</v>
      </c>
      <c r="E668" s="3" t="s">
        <v>948</v>
      </c>
      <c r="F668" s="3" t="s">
        <v>1047</v>
      </c>
      <c r="G668" s="3" t="s">
        <v>1591</v>
      </c>
      <c r="H668" s="3" t="s">
        <v>1592</v>
      </c>
      <c r="I668" s="3" t="s">
        <v>1046</v>
      </c>
      <c r="J668" s="4">
        <v>0</v>
      </c>
      <c r="K668" s="4">
        <v>0</v>
      </c>
      <c r="L668" s="4">
        <v>7.5</v>
      </c>
      <c r="M668" s="4">
        <v>0</v>
      </c>
      <c r="N668" s="5">
        <v>169926</v>
      </c>
      <c r="O668" s="5">
        <v>200</v>
      </c>
      <c r="P668" s="5">
        <v>33110</v>
      </c>
      <c r="Q668" s="5">
        <v>0</v>
      </c>
      <c r="R668" s="5">
        <v>31386</v>
      </c>
      <c r="S668" s="5">
        <v>8700</v>
      </c>
      <c r="T668" s="5">
        <f t="shared" si="94"/>
        <v>234622</v>
      </c>
      <c r="U668" s="5">
        <f>8700+71514</f>
        <v>80214</v>
      </c>
      <c r="V668" s="5">
        <v>0</v>
      </c>
      <c r="W668" s="5">
        <v>303533</v>
      </c>
      <c r="X668" s="5">
        <v>2175</v>
      </c>
      <c r="Y668" s="5">
        <v>620544</v>
      </c>
      <c r="Z668" s="5">
        <f t="shared" si="95"/>
        <v>620544</v>
      </c>
      <c r="AA668" s="20">
        <f t="shared" si="93"/>
        <v>0</v>
      </c>
    </row>
    <row r="669" spans="1:27" ht="12.75">
      <c r="A669" s="3" t="s">
        <v>1871</v>
      </c>
      <c r="B669" s="3" t="s">
        <v>898</v>
      </c>
      <c r="C669" s="3" t="s">
        <v>932</v>
      </c>
      <c r="D669" s="3" t="s">
        <v>1048</v>
      </c>
      <c r="E669" s="3" t="s">
        <v>3191</v>
      </c>
      <c r="F669" s="3" t="s">
        <v>1050</v>
      </c>
      <c r="G669" s="3" t="s">
        <v>1591</v>
      </c>
      <c r="H669" s="3" t="s">
        <v>1592</v>
      </c>
      <c r="I669" s="3" t="s">
        <v>2170</v>
      </c>
      <c r="J669" s="4">
        <v>0</v>
      </c>
      <c r="K669" s="4">
        <v>0</v>
      </c>
      <c r="L669" s="4">
        <v>0</v>
      </c>
      <c r="M669" s="4">
        <v>0</v>
      </c>
      <c r="N669" s="5">
        <v>0</v>
      </c>
      <c r="O669" s="5">
        <v>0</v>
      </c>
      <c r="P669" s="5">
        <v>0</v>
      </c>
      <c r="Q669" s="5">
        <v>0</v>
      </c>
      <c r="R669" s="5">
        <v>8400</v>
      </c>
      <c r="S669" s="5">
        <v>2500</v>
      </c>
      <c r="T669" s="5">
        <f t="shared" si="94"/>
        <v>8400</v>
      </c>
      <c r="U669" s="5">
        <f>2500+22500</f>
        <v>25000</v>
      </c>
      <c r="V669" s="5">
        <v>2000</v>
      </c>
      <c r="W669" s="5">
        <v>2000</v>
      </c>
      <c r="X669" s="5">
        <v>10000</v>
      </c>
      <c r="Y669" s="5">
        <v>47400</v>
      </c>
      <c r="Z669" s="5">
        <f t="shared" si="95"/>
        <v>47400</v>
      </c>
      <c r="AA669" s="20">
        <f t="shared" si="93"/>
        <v>0</v>
      </c>
    </row>
    <row r="670" spans="1:27" ht="12.75">
      <c r="A670" s="3" t="s">
        <v>1908</v>
      </c>
      <c r="B670" s="3" t="s">
        <v>898</v>
      </c>
      <c r="C670" s="3" t="s">
        <v>932</v>
      </c>
      <c r="D670" s="3" t="s">
        <v>1051</v>
      </c>
      <c r="E670" s="3" t="s">
        <v>948</v>
      </c>
      <c r="F670" s="3" t="s">
        <v>1053</v>
      </c>
      <c r="G670" s="3" t="s">
        <v>1591</v>
      </c>
      <c r="H670" s="3" t="s">
        <v>1592</v>
      </c>
      <c r="I670" s="3" t="s">
        <v>1052</v>
      </c>
      <c r="J670" s="4">
        <v>0</v>
      </c>
      <c r="K670" s="4">
        <v>0</v>
      </c>
      <c r="L670" s="4">
        <v>0</v>
      </c>
      <c r="M670" s="4">
        <v>0</v>
      </c>
      <c r="N670" s="5">
        <v>0</v>
      </c>
      <c r="O670" s="5">
        <v>0</v>
      </c>
      <c r="P670" s="5">
        <v>0</v>
      </c>
      <c r="Q670" s="5">
        <v>0</v>
      </c>
      <c r="R670" s="5">
        <v>0</v>
      </c>
      <c r="S670" s="5">
        <v>0</v>
      </c>
      <c r="T670" s="5">
        <f t="shared" si="94"/>
        <v>0</v>
      </c>
      <c r="U670" s="5">
        <v>30249</v>
      </c>
      <c r="V670" s="5">
        <v>0</v>
      </c>
      <c r="W670" s="5">
        <v>0</v>
      </c>
      <c r="X670" s="5">
        <v>0</v>
      </c>
      <c r="Y670" s="5">
        <v>30249</v>
      </c>
      <c r="Z670" s="5">
        <f t="shared" si="95"/>
        <v>30249</v>
      </c>
      <c r="AA670" s="20">
        <f t="shared" si="93"/>
        <v>0</v>
      </c>
    </row>
    <row r="671" spans="1:27" ht="12.75">
      <c r="A671" s="3" t="s">
        <v>1908</v>
      </c>
      <c r="B671" s="3" t="s">
        <v>898</v>
      </c>
      <c r="C671" s="3" t="s">
        <v>932</v>
      </c>
      <c r="D671" s="3" t="s">
        <v>1054</v>
      </c>
      <c r="E671" s="3" t="s">
        <v>948</v>
      </c>
      <c r="F671" s="3" t="s">
        <v>1056</v>
      </c>
      <c r="G671" s="3" t="s">
        <v>1591</v>
      </c>
      <c r="H671" s="3" t="s">
        <v>1592</v>
      </c>
      <c r="I671" s="3" t="s">
        <v>1055</v>
      </c>
      <c r="J671" s="4">
        <v>0</v>
      </c>
      <c r="K671" s="4">
        <v>0</v>
      </c>
      <c r="L671" s="4">
        <v>0</v>
      </c>
      <c r="M671" s="4">
        <v>0</v>
      </c>
      <c r="N671" s="5">
        <v>0</v>
      </c>
      <c r="O671" s="5">
        <v>0</v>
      </c>
      <c r="P671" s="5">
        <v>0</v>
      </c>
      <c r="Q671" s="5">
        <v>0</v>
      </c>
      <c r="R671" s="5">
        <v>0</v>
      </c>
      <c r="S671" s="5">
        <v>0</v>
      </c>
      <c r="T671" s="5">
        <f t="shared" si="94"/>
        <v>0</v>
      </c>
      <c r="U671" s="5">
        <v>12309</v>
      </c>
      <c r="V671" s="5">
        <v>0</v>
      </c>
      <c r="W671" s="5">
        <v>0</v>
      </c>
      <c r="X671" s="5">
        <v>0</v>
      </c>
      <c r="Y671" s="5">
        <v>12309</v>
      </c>
      <c r="Z671" s="5">
        <f t="shared" si="95"/>
        <v>12309</v>
      </c>
      <c r="AA671" s="20">
        <f t="shared" si="93"/>
        <v>0</v>
      </c>
    </row>
    <row r="672" spans="1:27" ht="12.75">
      <c r="A672" s="3" t="s">
        <v>1699</v>
      </c>
      <c r="B672" s="3" t="s">
        <v>898</v>
      </c>
      <c r="C672" s="3" t="s">
        <v>932</v>
      </c>
      <c r="D672" s="3" t="s">
        <v>1057</v>
      </c>
      <c r="E672" s="3" t="s">
        <v>3191</v>
      </c>
      <c r="F672" s="3" t="s">
        <v>1059</v>
      </c>
      <c r="G672" s="3" t="s">
        <v>1591</v>
      </c>
      <c r="H672" s="3" t="s">
        <v>1592</v>
      </c>
      <c r="I672" s="3" t="s">
        <v>2171</v>
      </c>
      <c r="J672" s="4">
        <v>0</v>
      </c>
      <c r="K672" s="4">
        <v>0</v>
      </c>
      <c r="L672" s="4">
        <v>0</v>
      </c>
      <c r="M672" s="4">
        <v>0</v>
      </c>
      <c r="N672" s="5">
        <v>0</v>
      </c>
      <c r="O672" s="5">
        <v>0</v>
      </c>
      <c r="P672" s="5">
        <v>1700</v>
      </c>
      <c r="Q672" s="5">
        <v>0</v>
      </c>
      <c r="R672" s="5">
        <v>0</v>
      </c>
      <c r="S672" s="5">
        <v>3500</v>
      </c>
      <c r="T672" s="5">
        <f t="shared" si="94"/>
        <v>1700</v>
      </c>
      <c r="U672" s="5">
        <f>5900+3500</f>
        <v>9400</v>
      </c>
      <c r="V672" s="5">
        <v>0</v>
      </c>
      <c r="W672" s="5">
        <v>3000</v>
      </c>
      <c r="X672" s="5">
        <v>200</v>
      </c>
      <c r="Y672" s="5">
        <v>14300</v>
      </c>
      <c r="Z672" s="5">
        <f t="shared" si="95"/>
        <v>14300</v>
      </c>
      <c r="AA672" s="20">
        <f t="shared" si="93"/>
        <v>0</v>
      </c>
    </row>
    <row r="673" spans="1:27" ht="12.75">
      <c r="A673" s="3" t="s">
        <v>1968</v>
      </c>
      <c r="B673" s="3" t="s">
        <v>898</v>
      </c>
      <c r="C673" s="3" t="s">
        <v>932</v>
      </c>
      <c r="D673" s="3" t="s">
        <v>1060</v>
      </c>
      <c r="E673" s="3" t="s">
        <v>3191</v>
      </c>
      <c r="F673" s="3" t="s">
        <v>1062</v>
      </c>
      <c r="G673" s="3" t="s">
        <v>1591</v>
      </c>
      <c r="H673" s="3" t="s">
        <v>1592</v>
      </c>
      <c r="I673" s="3" t="s">
        <v>1061</v>
      </c>
      <c r="J673" s="4">
        <v>0</v>
      </c>
      <c r="K673" s="4">
        <v>0</v>
      </c>
      <c r="L673" s="4">
        <v>0</v>
      </c>
      <c r="M673" s="4">
        <v>0</v>
      </c>
      <c r="N673" s="5">
        <v>0</v>
      </c>
      <c r="O673" s="5">
        <v>0</v>
      </c>
      <c r="P673" s="5">
        <v>500</v>
      </c>
      <c r="Q673" s="5">
        <v>0</v>
      </c>
      <c r="R673" s="5">
        <v>0</v>
      </c>
      <c r="S673" s="5">
        <v>0</v>
      </c>
      <c r="T673" s="5">
        <f t="shared" si="94"/>
        <v>500</v>
      </c>
      <c r="U673" s="5">
        <v>18000</v>
      </c>
      <c r="V673" s="5">
        <v>0</v>
      </c>
      <c r="W673" s="5">
        <v>0</v>
      </c>
      <c r="X673" s="5">
        <v>3000</v>
      </c>
      <c r="Y673" s="5">
        <v>21500</v>
      </c>
      <c r="Z673" s="5">
        <f t="shared" si="95"/>
        <v>21500</v>
      </c>
      <c r="AA673" s="20">
        <f t="shared" si="93"/>
        <v>0</v>
      </c>
    </row>
    <row r="674" spans="1:27" ht="12.75">
      <c r="A674" s="3" t="s">
        <v>1751</v>
      </c>
      <c r="B674" s="3" t="s">
        <v>898</v>
      </c>
      <c r="C674" s="3" t="s">
        <v>932</v>
      </c>
      <c r="D674" s="3" t="s">
        <v>1063</v>
      </c>
      <c r="E674" s="3" t="s">
        <v>3191</v>
      </c>
      <c r="F674" s="3" t="s">
        <v>1065</v>
      </c>
      <c r="G674" s="3" t="s">
        <v>1591</v>
      </c>
      <c r="H674" s="3" t="s">
        <v>1592</v>
      </c>
      <c r="I674" s="3" t="s">
        <v>1064</v>
      </c>
      <c r="J674" s="4">
        <v>0</v>
      </c>
      <c r="K674" s="4">
        <v>0</v>
      </c>
      <c r="L674" s="4">
        <v>0</v>
      </c>
      <c r="M674" s="4">
        <v>0</v>
      </c>
      <c r="N674" s="5">
        <v>0</v>
      </c>
      <c r="O674" s="5">
        <v>0</v>
      </c>
      <c r="P674" s="5">
        <v>0</v>
      </c>
      <c r="Q674" s="5">
        <v>0</v>
      </c>
      <c r="R674" s="5">
        <v>0</v>
      </c>
      <c r="S674" s="5">
        <v>0</v>
      </c>
      <c r="T674" s="5">
        <f t="shared" si="94"/>
        <v>0</v>
      </c>
      <c r="U674" s="5">
        <v>3048</v>
      </c>
      <c r="V674" s="5">
        <v>0</v>
      </c>
      <c r="W674" s="5">
        <v>0</v>
      </c>
      <c r="X674" s="5">
        <v>0</v>
      </c>
      <c r="Y674" s="5">
        <v>3048</v>
      </c>
      <c r="Z674" s="5">
        <f t="shared" si="95"/>
        <v>3048</v>
      </c>
      <c r="AA674" s="20">
        <f t="shared" si="93"/>
        <v>0</v>
      </c>
    </row>
    <row r="675" spans="1:27" ht="12.75">
      <c r="A675" s="3" t="s">
        <v>1751</v>
      </c>
      <c r="B675" s="3" t="s">
        <v>898</v>
      </c>
      <c r="C675" s="3" t="s">
        <v>932</v>
      </c>
      <c r="D675" s="3" t="s">
        <v>1066</v>
      </c>
      <c r="E675" s="3" t="s">
        <v>3191</v>
      </c>
      <c r="F675" s="3" t="s">
        <v>1068</v>
      </c>
      <c r="G675" s="3" t="s">
        <v>1591</v>
      </c>
      <c r="H675" s="3" t="s">
        <v>1592</v>
      </c>
      <c r="I675" s="3" t="s">
        <v>2172</v>
      </c>
      <c r="J675" s="4">
        <v>0</v>
      </c>
      <c r="K675" s="4">
        <v>0</v>
      </c>
      <c r="L675" s="4">
        <v>1</v>
      </c>
      <c r="M675" s="4">
        <v>0</v>
      </c>
      <c r="N675" s="5">
        <v>23664</v>
      </c>
      <c r="O675" s="5">
        <v>0</v>
      </c>
      <c r="P675" s="5">
        <v>0</v>
      </c>
      <c r="Q675" s="5">
        <v>0</v>
      </c>
      <c r="R675" s="5">
        <v>5844</v>
      </c>
      <c r="S675" s="5">
        <v>5775</v>
      </c>
      <c r="T675" s="5">
        <f t="shared" si="94"/>
        <v>29508</v>
      </c>
      <c r="U675" s="5">
        <f>5775+25099</f>
        <v>30874</v>
      </c>
      <c r="V675" s="5">
        <v>0</v>
      </c>
      <c r="W675" s="5">
        <v>0</v>
      </c>
      <c r="X675" s="5">
        <v>84</v>
      </c>
      <c r="Y675" s="5">
        <v>60466</v>
      </c>
      <c r="Z675" s="5">
        <f t="shared" si="95"/>
        <v>60466</v>
      </c>
      <c r="AA675" s="20">
        <f t="shared" si="93"/>
        <v>0</v>
      </c>
    </row>
    <row r="676" spans="1:27" ht="12.75">
      <c r="A676" s="3" t="s">
        <v>1751</v>
      </c>
      <c r="B676" s="3" t="s">
        <v>898</v>
      </c>
      <c r="C676" s="3" t="s">
        <v>932</v>
      </c>
      <c r="D676" s="3" t="s">
        <v>1069</v>
      </c>
      <c r="E676" s="3" t="s">
        <v>3191</v>
      </c>
      <c r="F676" s="3" t="s">
        <v>1071</v>
      </c>
      <c r="G676" s="3" t="s">
        <v>1591</v>
      </c>
      <c r="H676" s="3" t="s">
        <v>1592</v>
      </c>
      <c r="I676" s="3" t="s">
        <v>2173</v>
      </c>
      <c r="J676" s="4">
        <v>0</v>
      </c>
      <c r="K676" s="4">
        <v>0</v>
      </c>
      <c r="L676" s="4">
        <v>0</v>
      </c>
      <c r="M676" s="4">
        <v>0</v>
      </c>
      <c r="N676" s="5">
        <v>0</v>
      </c>
      <c r="O676" s="5">
        <v>0</v>
      </c>
      <c r="P676" s="5">
        <v>0</v>
      </c>
      <c r="Q676" s="5">
        <v>0</v>
      </c>
      <c r="R676" s="5">
        <v>0</v>
      </c>
      <c r="S676" s="5">
        <v>3409</v>
      </c>
      <c r="T676" s="5">
        <f t="shared" si="94"/>
        <v>0</v>
      </c>
      <c r="U676" s="5">
        <f>3409+1300</f>
        <v>4709</v>
      </c>
      <c r="V676" s="5">
        <v>0</v>
      </c>
      <c r="W676" s="5">
        <v>0</v>
      </c>
      <c r="X676" s="5">
        <v>2077</v>
      </c>
      <c r="Y676" s="5">
        <v>6786</v>
      </c>
      <c r="Z676" s="5">
        <f t="shared" si="95"/>
        <v>6786</v>
      </c>
      <c r="AA676" s="20">
        <f t="shared" si="93"/>
        <v>0</v>
      </c>
    </row>
    <row r="677" spans="1:27" ht="12.75">
      <c r="A677" s="3" t="s">
        <v>1699</v>
      </c>
      <c r="B677" s="3" t="s">
        <v>898</v>
      </c>
      <c r="C677" s="3" t="s">
        <v>932</v>
      </c>
      <c r="D677" s="3" t="s">
        <v>1072</v>
      </c>
      <c r="E677" s="3" t="s">
        <v>3191</v>
      </c>
      <c r="F677" s="3" t="s">
        <v>1074</v>
      </c>
      <c r="G677" s="3" t="s">
        <v>1591</v>
      </c>
      <c r="H677" s="3" t="s">
        <v>1592</v>
      </c>
      <c r="I677" s="3" t="s">
        <v>2174</v>
      </c>
      <c r="J677" s="4">
        <v>0</v>
      </c>
      <c r="K677" s="4">
        <v>0</v>
      </c>
      <c r="L677" s="4">
        <v>1</v>
      </c>
      <c r="M677" s="4">
        <v>0</v>
      </c>
      <c r="N677" s="5">
        <v>19392</v>
      </c>
      <c r="O677" s="5">
        <v>0</v>
      </c>
      <c r="P677" s="5">
        <v>0</v>
      </c>
      <c r="Q677" s="5">
        <v>0</v>
      </c>
      <c r="R677" s="5">
        <v>0</v>
      </c>
      <c r="S677" s="5">
        <v>0</v>
      </c>
      <c r="T677" s="5">
        <f t="shared" si="94"/>
        <v>19392</v>
      </c>
      <c r="U677" s="5">
        <f>SUM(S677:S677)</f>
        <v>0</v>
      </c>
      <c r="V677" s="5">
        <v>0</v>
      </c>
      <c r="W677" s="5">
        <v>0</v>
      </c>
      <c r="X677" s="5">
        <v>0</v>
      </c>
      <c r="Y677" s="5">
        <v>19392</v>
      </c>
      <c r="Z677" s="5">
        <f t="shared" si="95"/>
        <v>19392</v>
      </c>
      <c r="AA677" s="20">
        <f t="shared" si="93"/>
        <v>0</v>
      </c>
    </row>
    <row r="678" spans="1:27" ht="12.75">
      <c r="A678" s="3" t="s">
        <v>1699</v>
      </c>
      <c r="B678" s="3" t="s">
        <v>898</v>
      </c>
      <c r="C678" s="3" t="s">
        <v>932</v>
      </c>
      <c r="D678" s="3" t="s">
        <v>1075</v>
      </c>
      <c r="E678" s="3" t="s">
        <v>3191</v>
      </c>
      <c r="F678" s="3" t="s">
        <v>1077</v>
      </c>
      <c r="G678" s="3" t="s">
        <v>1591</v>
      </c>
      <c r="H678" s="3" t="s">
        <v>1592</v>
      </c>
      <c r="I678" s="3" t="s">
        <v>1076</v>
      </c>
      <c r="J678" s="4">
        <v>0</v>
      </c>
      <c r="K678" s="4">
        <v>0</v>
      </c>
      <c r="L678" s="4">
        <v>0</v>
      </c>
      <c r="M678" s="4">
        <v>0</v>
      </c>
      <c r="N678" s="5">
        <v>0</v>
      </c>
      <c r="O678" s="5">
        <v>0</v>
      </c>
      <c r="P678" s="5">
        <v>0</v>
      </c>
      <c r="Q678" s="5">
        <v>0</v>
      </c>
      <c r="R678" s="5">
        <v>0</v>
      </c>
      <c r="S678" s="5">
        <v>2000</v>
      </c>
      <c r="T678" s="5">
        <f t="shared" si="94"/>
        <v>0</v>
      </c>
      <c r="U678" s="5">
        <f>2000+1500</f>
        <v>3500</v>
      </c>
      <c r="V678" s="5">
        <v>0</v>
      </c>
      <c r="W678" s="5">
        <v>0</v>
      </c>
      <c r="X678" s="5">
        <v>0</v>
      </c>
      <c r="Y678" s="5">
        <v>3500</v>
      </c>
      <c r="Z678" s="5">
        <f t="shared" si="95"/>
        <v>3500</v>
      </c>
      <c r="AA678" s="20">
        <f t="shared" si="93"/>
        <v>0</v>
      </c>
    </row>
    <row r="679" spans="1:27" ht="12.75">
      <c r="A679" s="3" t="s">
        <v>1936</v>
      </c>
      <c r="B679" s="3" t="s">
        <v>898</v>
      </c>
      <c r="C679" s="3" t="s">
        <v>932</v>
      </c>
      <c r="D679" s="3" t="s">
        <v>1078</v>
      </c>
      <c r="E679" s="3" t="s">
        <v>3191</v>
      </c>
      <c r="F679" s="3" t="s">
        <v>1085</v>
      </c>
      <c r="G679" s="3" t="s">
        <v>1591</v>
      </c>
      <c r="H679" s="3" t="s">
        <v>1592</v>
      </c>
      <c r="I679" s="3" t="s">
        <v>2175</v>
      </c>
      <c r="J679" s="4">
        <v>0</v>
      </c>
      <c r="K679" s="4">
        <v>0</v>
      </c>
      <c r="L679" s="4">
        <v>0</v>
      </c>
      <c r="M679" s="4">
        <v>0</v>
      </c>
      <c r="N679" s="5">
        <v>0</v>
      </c>
      <c r="O679" s="5">
        <v>0</v>
      </c>
      <c r="P679" s="5">
        <v>0</v>
      </c>
      <c r="Q679" s="5">
        <v>0</v>
      </c>
      <c r="R679" s="5">
        <v>2198</v>
      </c>
      <c r="S679" s="5">
        <v>0</v>
      </c>
      <c r="T679" s="5">
        <f t="shared" si="94"/>
        <v>2198</v>
      </c>
      <c r="U679" s="5">
        <f>SUM(S679:S679)</f>
        <v>0</v>
      </c>
      <c r="V679" s="5">
        <v>0</v>
      </c>
      <c r="W679" s="5">
        <v>0</v>
      </c>
      <c r="X679" s="5">
        <v>0</v>
      </c>
      <c r="Y679" s="5">
        <v>2198</v>
      </c>
      <c r="Z679" s="5">
        <f t="shared" si="95"/>
        <v>2198</v>
      </c>
      <c r="AA679" s="20">
        <f t="shared" si="93"/>
        <v>0</v>
      </c>
    </row>
    <row r="680" spans="1:27" ht="12.75">
      <c r="A680" s="3" t="s">
        <v>1908</v>
      </c>
      <c r="B680" s="3" t="s">
        <v>898</v>
      </c>
      <c r="C680" s="3" t="s">
        <v>932</v>
      </c>
      <c r="D680" s="3" t="s">
        <v>1086</v>
      </c>
      <c r="E680" s="3" t="s">
        <v>941</v>
      </c>
      <c r="F680" s="3" t="s">
        <v>1088</v>
      </c>
      <c r="G680" s="3" t="s">
        <v>1591</v>
      </c>
      <c r="H680" s="3" t="s">
        <v>1592</v>
      </c>
      <c r="I680" s="3" t="s">
        <v>597</v>
      </c>
      <c r="J680" s="4">
        <v>0</v>
      </c>
      <c r="K680" s="4">
        <v>0</v>
      </c>
      <c r="L680" s="4">
        <v>1</v>
      </c>
      <c r="M680" s="4">
        <v>0</v>
      </c>
      <c r="N680" s="5">
        <v>47700</v>
      </c>
      <c r="O680" s="5">
        <v>0</v>
      </c>
      <c r="P680" s="5">
        <v>8050</v>
      </c>
      <c r="Q680" s="5">
        <v>0</v>
      </c>
      <c r="R680" s="5">
        <v>8755</v>
      </c>
      <c r="S680" s="5">
        <v>0</v>
      </c>
      <c r="T680" s="5">
        <f t="shared" si="94"/>
        <v>64505</v>
      </c>
      <c r="U680" s="5">
        <f>SUM(S680:S680)</f>
        <v>0</v>
      </c>
      <c r="V680" s="5">
        <v>0</v>
      </c>
      <c r="W680" s="5">
        <v>0</v>
      </c>
      <c r="X680" s="5">
        <v>0</v>
      </c>
      <c r="Y680" s="5">
        <v>64505</v>
      </c>
      <c r="Z680" s="5">
        <f t="shared" si="95"/>
        <v>64505</v>
      </c>
      <c r="AA680" s="20">
        <f t="shared" si="93"/>
        <v>0</v>
      </c>
    </row>
    <row r="681" spans="1:27" ht="12.75">
      <c r="A681" s="3" t="s">
        <v>1751</v>
      </c>
      <c r="B681" s="3" t="s">
        <v>898</v>
      </c>
      <c r="C681" s="3" t="s">
        <v>932</v>
      </c>
      <c r="D681" s="3" t="s">
        <v>1089</v>
      </c>
      <c r="E681" s="3" t="s">
        <v>3191</v>
      </c>
      <c r="F681" s="3" t="s">
        <v>1091</v>
      </c>
      <c r="G681" s="3" t="s">
        <v>1591</v>
      </c>
      <c r="H681" s="3" t="s">
        <v>1592</v>
      </c>
      <c r="I681" s="3" t="s">
        <v>1090</v>
      </c>
      <c r="J681" s="4">
        <v>0</v>
      </c>
      <c r="K681" s="4">
        <v>0</v>
      </c>
      <c r="L681" s="4">
        <v>0</v>
      </c>
      <c r="M681" s="4">
        <v>0</v>
      </c>
      <c r="N681" s="5">
        <v>0</v>
      </c>
      <c r="O681" s="5">
        <v>0</v>
      </c>
      <c r="P681" s="5">
        <v>0</v>
      </c>
      <c r="Q681" s="5">
        <v>0</v>
      </c>
      <c r="R681" s="5">
        <v>0</v>
      </c>
      <c r="S681" s="5">
        <v>6763</v>
      </c>
      <c r="T681" s="5">
        <f t="shared" si="94"/>
        <v>0</v>
      </c>
      <c r="U681" s="5">
        <f>6763+2386</f>
        <v>9149</v>
      </c>
      <c r="V681" s="5">
        <v>0</v>
      </c>
      <c r="W681" s="5">
        <v>0</v>
      </c>
      <c r="X681" s="5">
        <v>0</v>
      </c>
      <c r="Y681" s="5">
        <v>9149</v>
      </c>
      <c r="Z681" s="5">
        <f t="shared" si="95"/>
        <v>9149</v>
      </c>
      <c r="AA681" s="20">
        <f t="shared" si="93"/>
        <v>0</v>
      </c>
    </row>
    <row r="682" spans="1:27" ht="12.75">
      <c r="A682" s="3" t="s">
        <v>2912</v>
      </c>
      <c r="B682" s="3" t="s">
        <v>898</v>
      </c>
      <c r="C682" s="3" t="s">
        <v>932</v>
      </c>
      <c r="D682" s="3" t="s">
        <v>1092</v>
      </c>
      <c r="E682" s="3" t="s">
        <v>948</v>
      </c>
      <c r="F682" s="3" t="s">
        <v>1094</v>
      </c>
      <c r="G682" s="3" t="s">
        <v>1591</v>
      </c>
      <c r="H682" s="3" t="s">
        <v>1592</v>
      </c>
      <c r="I682" s="3" t="s">
        <v>1093</v>
      </c>
      <c r="J682" s="4">
        <v>0</v>
      </c>
      <c r="K682" s="4">
        <v>0</v>
      </c>
      <c r="L682" s="4">
        <v>0</v>
      </c>
      <c r="M682" s="4">
        <v>0</v>
      </c>
      <c r="N682" s="5">
        <v>0</v>
      </c>
      <c r="O682" s="5">
        <v>0</v>
      </c>
      <c r="P682" s="5">
        <v>2500</v>
      </c>
      <c r="Q682" s="5">
        <v>0</v>
      </c>
      <c r="R682" s="5">
        <v>6629</v>
      </c>
      <c r="S682" s="5">
        <v>0</v>
      </c>
      <c r="T682" s="5">
        <f t="shared" si="94"/>
        <v>9129</v>
      </c>
      <c r="U682" s="5">
        <v>13325</v>
      </c>
      <c r="V682" s="5">
        <v>0</v>
      </c>
      <c r="W682" s="5">
        <v>7163</v>
      </c>
      <c r="X682" s="5">
        <v>0</v>
      </c>
      <c r="Y682" s="5">
        <v>29617</v>
      </c>
      <c r="Z682" s="5">
        <f t="shared" si="95"/>
        <v>29617</v>
      </c>
      <c r="AA682" s="20">
        <f t="shared" si="93"/>
        <v>0</v>
      </c>
    </row>
    <row r="683" spans="1:27" ht="12.75">
      <c r="A683" s="3" t="s">
        <v>1699</v>
      </c>
      <c r="B683" s="3" t="s">
        <v>898</v>
      </c>
      <c r="C683" s="3" t="s">
        <v>932</v>
      </c>
      <c r="D683" s="3" t="s">
        <v>1096</v>
      </c>
      <c r="E683" s="3" t="s">
        <v>941</v>
      </c>
      <c r="F683" s="3" t="s">
        <v>1098</v>
      </c>
      <c r="G683" s="3" t="s">
        <v>1591</v>
      </c>
      <c r="H683" s="3" t="s">
        <v>1592</v>
      </c>
      <c r="I683" s="3" t="s">
        <v>599</v>
      </c>
      <c r="J683" s="4">
        <v>0</v>
      </c>
      <c r="K683" s="4">
        <v>0</v>
      </c>
      <c r="L683" s="4">
        <v>1</v>
      </c>
      <c r="M683" s="4">
        <v>0</v>
      </c>
      <c r="N683" s="5">
        <v>26124</v>
      </c>
      <c r="O683" s="5">
        <v>0</v>
      </c>
      <c r="P683" s="5">
        <v>0</v>
      </c>
      <c r="Q683" s="5">
        <v>0</v>
      </c>
      <c r="R683" s="5">
        <v>18080</v>
      </c>
      <c r="S683" s="5">
        <v>2000</v>
      </c>
      <c r="T683" s="5">
        <f t="shared" si="94"/>
        <v>44204</v>
      </c>
      <c r="U683" s="5">
        <f>2000+3500</f>
        <v>5500</v>
      </c>
      <c r="V683" s="5">
        <v>0</v>
      </c>
      <c r="W683" s="5">
        <v>0</v>
      </c>
      <c r="X683" s="5">
        <v>100</v>
      </c>
      <c r="Y683" s="5">
        <v>49804</v>
      </c>
      <c r="Z683" s="5">
        <f t="shared" si="95"/>
        <v>49804</v>
      </c>
      <c r="AA683" s="20">
        <f t="shared" si="93"/>
        <v>0</v>
      </c>
    </row>
    <row r="684" spans="1:27" ht="12.75">
      <c r="A684" s="3" t="s">
        <v>1936</v>
      </c>
      <c r="B684" s="3" t="s">
        <v>898</v>
      </c>
      <c r="C684" s="3" t="s">
        <v>932</v>
      </c>
      <c r="D684" s="3" t="s">
        <v>1099</v>
      </c>
      <c r="E684" s="3" t="s">
        <v>3191</v>
      </c>
      <c r="F684" s="3" t="s">
        <v>1101</v>
      </c>
      <c r="G684" s="3" t="s">
        <v>1591</v>
      </c>
      <c r="H684" s="3" t="s">
        <v>1592</v>
      </c>
      <c r="I684" s="3" t="s">
        <v>598</v>
      </c>
      <c r="J684" s="4">
        <v>0</v>
      </c>
      <c r="K684" s="4">
        <v>0</v>
      </c>
      <c r="L684" s="4">
        <v>0</v>
      </c>
      <c r="M684" s="4">
        <v>0</v>
      </c>
      <c r="N684" s="5">
        <v>0</v>
      </c>
      <c r="O684" s="5">
        <v>0</v>
      </c>
      <c r="P684" s="5">
        <v>25200</v>
      </c>
      <c r="Q684" s="5">
        <v>0</v>
      </c>
      <c r="R684" s="5">
        <v>1836</v>
      </c>
      <c r="S684" s="5">
        <v>0</v>
      </c>
      <c r="T684" s="5">
        <f t="shared" si="94"/>
        <v>27036</v>
      </c>
      <c r="U684" s="5">
        <f>SUM(S684:S684)</f>
        <v>0</v>
      </c>
      <c r="V684" s="5">
        <v>0</v>
      </c>
      <c r="W684" s="5">
        <v>0</v>
      </c>
      <c r="X684" s="5">
        <v>0</v>
      </c>
      <c r="Y684" s="5">
        <v>27036</v>
      </c>
      <c r="Z684" s="5">
        <f t="shared" si="95"/>
        <v>27036</v>
      </c>
      <c r="AA684" s="20">
        <f t="shared" si="93"/>
        <v>0</v>
      </c>
    </row>
    <row r="685" spans="1:27" ht="12.75">
      <c r="A685" s="3" t="s">
        <v>1751</v>
      </c>
      <c r="B685" s="3" t="s">
        <v>898</v>
      </c>
      <c r="C685" s="3" t="s">
        <v>932</v>
      </c>
      <c r="D685" s="3" t="s">
        <v>1102</v>
      </c>
      <c r="E685" s="3" t="s">
        <v>3191</v>
      </c>
      <c r="F685" s="3" t="s">
        <v>1104</v>
      </c>
      <c r="G685" s="3" t="s">
        <v>1591</v>
      </c>
      <c r="H685" s="3" t="s">
        <v>1592</v>
      </c>
      <c r="I685" s="3" t="s">
        <v>1103</v>
      </c>
      <c r="J685" s="4">
        <v>0</v>
      </c>
      <c r="K685" s="4">
        <v>0</v>
      </c>
      <c r="L685" s="4">
        <v>0</v>
      </c>
      <c r="M685" s="4">
        <v>0</v>
      </c>
      <c r="N685" s="5">
        <v>0</v>
      </c>
      <c r="O685" s="5">
        <v>0</v>
      </c>
      <c r="P685" s="5">
        <v>0</v>
      </c>
      <c r="Q685" s="5">
        <v>0</v>
      </c>
      <c r="R685" s="5">
        <v>0</v>
      </c>
      <c r="S685" s="5">
        <v>0</v>
      </c>
      <c r="T685" s="5">
        <f t="shared" si="94"/>
        <v>0</v>
      </c>
      <c r="U685" s="5">
        <v>1390</v>
      </c>
      <c r="V685" s="5">
        <v>0</v>
      </c>
      <c r="W685" s="5">
        <v>0</v>
      </c>
      <c r="X685" s="5">
        <v>218</v>
      </c>
      <c r="Y685" s="5">
        <v>1608</v>
      </c>
      <c r="Z685" s="5">
        <f t="shared" si="95"/>
        <v>1608</v>
      </c>
      <c r="AA685" s="20">
        <f t="shared" si="93"/>
        <v>0</v>
      </c>
    </row>
    <row r="686" spans="1:27" ht="12.75">
      <c r="A686" s="3" t="s">
        <v>2595</v>
      </c>
      <c r="B686" s="3" t="s">
        <v>898</v>
      </c>
      <c r="C686" s="3" t="s">
        <v>932</v>
      </c>
      <c r="D686" s="3" t="s">
        <v>1105</v>
      </c>
      <c r="E686" s="3" t="s">
        <v>948</v>
      </c>
      <c r="F686" s="3" t="s">
        <v>1107</v>
      </c>
      <c r="G686" s="3" t="s">
        <v>1591</v>
      </c>
      <c r="H686" s="3" t="s">
        <v>1592</v>
      </c>
      <c r="I686" s="3" t="s">
        <v>600</v>
      </c>
      <c r="J686" s="4">
        <v>0</v>
      </c>
      <c r="K686" s="4">
        <v>0</v>
      </c>
      <c r="L686" s="4">
        <v>0</v>
      </c>
      <c r="M686" s="4">
        <v>0</v>
      </c>
      <c r="N686" s="5">
        <v>0</v>
      </c>
      <c r="O686" s="5">
        <v>0</v>
      </c>
      <c r="P686" s="5">
        <v>0</v>
      </c>
      <c r="Q686" s="5">
        <v>0</v>
      </c>
      <c r="R686" s="5">
        <v>0</v>
      </c>
      <c r="S686" s="5">
        <v>0</v>
      </c>
      <c r="T686" s="5">
        <f t="shared" si="94"/>
        <v>0</v>
      </c>
      <c r="U686" s="5">
        <v>5000</v>
      </c>
      <c r="V686" s="5">
        <v>0</v>
      </c>
      <c r="W686" s="5">
        <v>0</v>
      </c>
      <c r="X686" s="5">
        <v>0</v>
      </c>
      <c r="Y686" s="5">
        <v>5000</v>
      </c>
      <c r="Z686" s="5">
        <f t="shared" si="95"/>
        <v>5000</v>
      </c>
      <c r="AA686" s="20">
        <f t="shared" si="93"/>
        <v>0</v>
      </c>
    </row>
    <row r="687" spans="1:27" ht="12.75">
      <c r="A687" s="3" t="s">
        <v>2595</v>
      </c>
      <c r="B687" s="3" t="s">
        <v>898</v>
      </c>
      <c r="C687" s="3" t="s">
        <v>932</v>
      </c>
      <c r="D687" s="3" t="s">
        <v>1108</v>
      </c>
      <c r="E687" s="3" t="s">
        <v>948</v>
      </c>
      <c r="F687" s="3" t="s">
        <v>1110</v>
      </c>
      <c r="G687" s="3" t="s">
        <v>1591</v>
      </c>
      <c r="H687" s="3" t="s">
        <v>1592</v>
      </c>
      <c r="I687" s="3" t="s">
        <v>601</v>
      </c>
      <c r="J687" s="4">
        <v>0</v>
      </c>
      <c r="K687" s="4">
        <v>0</v>
      </c>
      <c r="L687" s="4">
        <v>0</v>
      </c>
      <c r="M687" s="4">
        <v>0</v>
      </c>
      <c r="N687" s="5">
        <v>0</v>
      </c>
      <c r="O687" s="5">
        <v>0</v>
      </c>
      <c r="P687" s="5">
        <v>0</v>
      </c>
      <c r="Q687" s="5">
        <v>0</v>
      </c>
      <c r="R687" s="5">
        <v>0</v>
      </c>
      <c r="S687" s="5">
        <v>0</v>
      </c>
      <c r="T687" s="5">
        <f t="shared" si="94"/>
        <v>0</v>
      </c>
      <c r="U687" s="5">
        <v>50000</v>
      </c>
      <c r="V687" s="5">
        <v>0</v>
      </c>
      <c r="W687" s="5">
        <v>0</v>
      </c>
      <c r="X687" s="5">
        <v>0</v>
      </c>
      <c r="Y687" s="5">
        <v>50000</v>
      </c>
      <c r="Z687" s="5">
        <f t="shared" si="95"/>
        <v>50000</v>
      </c>
      <c r="AA687" s="20">
        <f t="shared" si="93"/>
        <v>0</v>
      </c>
    </row>
    <row r="688" spans="1:27" ht="12.75">
      <c r="A688" s="3" t="s">
        <v>2040</v>
      </c>
      <c r="B688" s="3" t="s">
        <v>898</v>
      </c>
      <c r="C688" s="3" t="s">
        <v>932</v>
      </c>
      <c r="D688" s="3" t="s">
        <v>1111</v>
      </c>
      <c r="E688" s="3" t="s">
        <v>941</v>
      </c>
      <c r="F688" s="3" t="s">
        <v>1113</v>
      </c>
      <c r="G688" s="3" t="s">
        <v>1591</v>
      </c>
      <c r="H688" s="3" t="s">
        <v>1592</v>
      </c>
      <c r="I688" s="3" t="s">
        <v>1112</v>
      </c>
      <c r="J688" s="4">
        <v>0</v>
      </c>
      <c r="K688" s="4">
        <v>0</v>
      </c>
      <c r="L688" s="4">
        <v>2.02</v>
      </c>
      <c r="M688" s="4">
        <v>1</v>
      </c>
      <c r="N688" s="5">
        <v>82620</v>
      </c>
      <c r="O688" s="5">
        <v>0</v>
      </c>
      <c r="P688" s="5">
        <v>0</v>
      </c>
      <c r="Q688" s="5">
        <v>0</v>
      </c>
      <c r="R688" s="5">
        <v>0</v>
      </c>
      <c r="S688" s="5">
        <v>0</v>
      </c>
      <c r="T688" s="5">
        <f t="shared" si="94"/>
        <v>82620</v>
      </c>
      <c r="U688" s="5">
        <f>SUM(S688:S688)</f>
        <v>0</v>
      </c>
      <c r="V688" s="5">
        <v>0</v>
      </c>
      <c r="W688" s="5">
        <v>0</v>
      </c>
      <c r="X688" s="5">
        <v>0</v>
      </c>
      <c r="Y688" s="5">
        <v>82620</v>
      </c>
      <c r="Z688" s="5">
        <f t="shared" si="95"/>
        <v>82620</v>
      </c>
      <c r="AA688" s="20">
        <f t="shared" si="93"/>
        <v>0</v>
      </c>
    </row>
    <row r="689" spans="1:27" ht="12.75">
      <c r="A689" s="3" t="s">
        <v>1936</v>
      </c>
      <c r="B689" s="3" t="s">
        <v>3187</v>
      </c>
      <c r="C689" s="3" t="s">
        <v>3188</v>
      </c>
      <c r="D689" s="3" t="s">
        <v>3189</v>
      </c>
      <c r="E689" s="3" t="s">
        <v>3191</v>
      </c>
      <c r="F689" s="3" t="s">
        <v>3192</v>
      </c>
      <c r="G689" s="3" t="s">
        <v>1591</v>
      </c>
      <c r="H689" s="3" t="s">
        <v>1592</v>
      </c>
      <c r="I689" s="3" t="s">
        <v>3190</v>
      </c>
      <c r="J689" s="4">
        <v>0</v>
      </c>
      <c r="K689" s="4">
        <v>0</v>
      </c>
      <c r="L689" s="4">
        <v>0</v>
      </c>
      <c r="M689" s="4">
        <v>0</v>
      </c>
      <c r="N689" s="5">
        <v>0</v>
      </c>
      <c r="O689" s="5">
        <v>0</v>
      </c>
      <c r="P689" s="5">
        <v>0</v>
      </c>
      <c r="Q689" s="5">
        <v>0</v>
      </c>
      <c r="R689" s="5">
        <v>0</v>
      </c>
      <c r="S689" s="5">
        <v>0</v>
      </c>
      <c r="T689" s="5">
        <f t="shared" si="94"/>
        <v>0</v>
      </c>
      <c r="U689" s="5">
        <v>6000</v>
      </c>
      <c r="V689" s="5">
        <v>0</v>
      </c>
      <c r="W689" s="5">
        <v>0</v>
      </c>
      <c r="X689" s="5">
        <v>1000</v>
      </c>
      <c r="Y689" s="5">
        <v>7000</v>
      </c>
      <c r="Z689" s="5">
        <f t="shared" si="95"/>
        <v>7000</v>
      </c>
      <c r="AA689" s="20">
        <f t="shared" si="93"/>
        <v>0</v>
      </c>
    </row>
    <row r="690" spans="1:27" ht="12.75">
      <c r="A690" s="3" t="s">
        <v>2908</v>
      </c>
      <c r="B690" s="3" t="s">
        <v>3187</v>
      </c>
      <c r="C690" s="3" t="s">
        <v>3188</v>
      </c>
      <c r="D690" s="3" t="s">
        <v>3193</v>
      </c>
      <c r="E690" s="3" t="s">
        <v>3191</v>
      </c>
      <c r="F690" s="3" t="s">
        <v>3195</v>
      </c>
      <c r="G690" s="3" t="s">
        <v>1591</v>
      </c>
      <c r="H690" s="3" t="s">
        <v>1592</v>
      </c>
      <c r="I690" s="3" t="s">
        <v>602</v>
      </c>
      <c r="J690" s="4">
        <v>0</v>
      </c>
      <c r="K690" s="4">
        <v>0</v>
      </c>
      <c r="L690" s="4">
        <v>0</v>
      </c>
      <c r="M690" s="4">
        <v>0</v>
      </c>
      <c r="N690" s="5">
        <v>0</v>
      </c>
      <c r="O690" s="5">
        <v>0</v>
      </c>
      <c r="P690" s="5">
        <v>0</v>
      </c>
      <c r="Q690" s="5">
        <v>0</v>
      </c>
      <c r="R690" s="5">
        <v>9001</v>
      </c>
      <c r="S690" s="5">
        <v>0</v>
      </c>
      <c r="T690" s="5">
        <f t="shared" si="94"/>
        <v>9001</v>
      </c>
      <c r="U690" s="5">
        <f>SUM(S690:S690)</f>
        <v>0</v>
      </c>
      <c r="V690" s="5">
        <v>0</v>
      </c>
      <c r="W690" s="5">
        <v>0</v>
      </c>
      <c r="X690" s="5">
        <v>0</v>
      </c>
      <c r="Y690" s="5">
        <v>9001</v>
      </c>
      <c r="Z690" s="5">
        <f t="shared" si="95"/>
        <v>9001</v>
      </c>
      <c r="AA690" s="20">
        <f t="shared" si="93"/>
        <v>0</v>
      </c>
    </row>
    <row r="691" spans="1:27" ht="12.75">
      <c r="A691" s="3" t="s">
        <v>2595</v>
      </c>
      <c r="B691" s="3" t="s">
        <v>3187</v>
      </c>
      <c r="C691" s="3" t="s">
        <v>3188</v>
      </c>
      <c r="D691" s="3" t="s">
        <v>3196</v>
      </c>
      <c r="E691" s="3" t="s">
        <v>3197</v>
      </c>
      <c r="F691" s="3" t="s">
        <v>3198</v>
      </c>
      <c r="G691" s="3" t="s">
        <v>1591</v>
      </c>
      <c r="H691" s="3" t="s">
        <v>1592</v>
      </c>
      <c r="I691" s="3" t="s">
        <v>603</v>
      </c>
      <c r="J691" s="4">
        <v>0</v>
      </c>
      <c r="K691" s="4">
        <v>0</v>
      </c>
      <c r="L691" s="4">
        <v>9</v>
      </c>
      <c r="M691" s="4">
        <v>0</v>
      </c>
      <c r="N691" s="5">
        <v>342720</v>
      </c>
      <c r="O691" s="5">
        <v>0</v>
      </c>
      <c r="P691" s="5">
        <v>0</v>
      </c>
      <c r="Q691" s="5">
        <v>0</v>
      </c>
      <c r="R691" s="5">
        <v>89107</v>
      </c>
      <c r="S691" s="5">
        <v>0</v>
      </c>
      <c r="T691" s="5">
        <f t="shared" si="94"/>
        <v>431827</v>
      </c>
      <c r="U691" s="5">
        <f>SUM(S691:S691)</f>
        <v>0</v>
      </c>
      <c r="V691" s="5">
        <v>0</v>
      </c>
      <c r="W691" s="5">
        <v>0</v>
      </c>
      <c r="X691" s="5">
        <v>0</v>
      </c>
      <c r="Y691" s="5">
        <v>431827</v>
      </c>
      <c r="Z691" s="5">
        <f t="shared" si="95"/>
        <v>431827</v>
      </c>
      <c r="AA691" s="20">
        <f t="shared" si="93"/>
        <v>0</v>
      </c>
    </row>
    <row r="692" spans="1:27" ht="12.75">
      <c r="A692" s="3" t="s">
        <v>1751</v>
      </c>
      <c r="B692" s="3" t="s">
        <v>3187</v>
      </c>
      <c r="C692" s="3" t="s">
        <v>3188</v>
      </c>
      <c r="D692" s="3" t="s">
        <v>3199</v>
      </c>
      <c r="E692" s="3" t="s">
        <v>3191</v>
      </c>
      <c r="F692" s="3" t="s">
        <v>3201</v>
      </c>
      <c r="G692" s="3" t="s">
        <v>1591</v>
      </c>
      <c r="H692" s="3" t="s">
        <v>1592</v>
      </c>
      <c r="I692" s="3" t="s">
        <v>3200</v>
      </c>
      <c r="J692" s="4">
        <v>0</v>
      </c>
      <c r="K692" s="4">
        <v>0</v>
      </c>
      <c r="L692" s="4">
        <v>0</v>
      </c>
      <c r="M692" s="4">
        <v>0</v>
      </c>
      <c r="N692" s="5">
        <v>0</v>
      </c>
      <c r="O692" s="5">
        <v>0</v>
      </c>
      <c r="P692" s="5">
        <v>0</v>
      </c>
      <c r="Q692" s="5">
        <v>0</v>
      </c>
      <c r="R692" s="5">
        <v>0</v>
      </c>
      <c r="S692" s="5">
        <v>0</v>
      </c>
      <c r="T692" s="5">
        <f t="shared" si="94"/>
        <v>0</v>
      </c>
      <c r="U692" s="5">
        <v>1063</v>
      </c>
      <c r="V692" s="5">
        <v>0</v>
      </c>
      <c r="W692" s="5">
        <v>0</v>
      </c>
      <c r="X692" s="5">
        <v>796</v>
      </c>
      <c r="Y692" s="5">
        <v>1859</v>
      </c>
      <c r="Z692" s="5">
        <f t="shared" si="95"/>
        <v>1859</v>
      </c>
      <c r="AA692" s="20">
        <f t="shared" si="93"/>
        <v>0</v>
      </c>
    </row>
    <row r="693" spans="1:27" ht="12.75">
      <c r="A693" s="3" t="s">
        <v>1751</v>
      </c>
      <c r="B693" s="3" t="s">
        <v>3187</v>
      </c>
      <c r="C693" s="3" t="s">
        <v>3188</v>
      </c>
      <c r="D693" s="3" t="s">
        <v>3202</v>
      </c>
      <c r="E693" s="3" t="s">
        <v>3191</v>
      </c>
      <c r="F693" s="3" t="s">
        <v>3204</v>
      </c>
      <c r="G693" s="3" t="s">
        <v>1591</v>
      </c>
      <c r="H693" s="3" t="s">
        <v>1592</v>
      </c>
      <c r="I693" s="3" t="s">
        <v>3203</v>
      </c>
      <c r="J693" s="4">
        <v>0</v>
      </c>
      <c r="K693" s="4">
        <v>0</v>
      </c>
      <c r="L693" s="4">
        <v>0</v>
      </c>
      <c r="M693" s="4">
        <v>0</v>
      </c>
      <c r="N693" s="5">
        <v>0</v>
      </c>
      <c r="O693" s="5">
        <v>0</v>
      </c>
      <c r="P693" s="5">
        <v>0</v>
      </c>
      <c r="Q693" s="5">
        <v>0</v>
      </c>
      <c r="R693" s="5">
        <v>0</v>
      </c>
      <c r="S693" s="5">
        <v>0</v>
      </c>
      <c r="T693" s="5">
        <f t="shared" si="94"/>
        <v>0</v>
      </c>
      <c r="U693" s="5">
        <v>250</v>
      </c>
      <c r="V693" s="5">
        <v>0</v>
      </c>
      <c r="W693" s="5">
        <v>0</v>
      </c>
      <c r="X693" s="5">
        <v>0</v>
      </c>
      <c r="Y693" s="5">
        <v>250</v>
      </c>
      <c r="Z693" s="5">
        <f t="shared" si="95"/>
        <v>250</v>
      </c>
      <c r="AA693" s="20">
        <f t="shared" si="93"/>
        <v>0</v>
      </c>
    </row>
    <row r="694" spans="1:27" ht="12.75">
      <c r="A694" s="3" t="s">
        <v>1908</v>
      </c>
      <c r="B694" s="3" t="s">
        <v>3187</v>
      </c>
      <c r="C694" s="3" t="s">
        <v>3188</v>
      </c>
      <c r="D694" s="3" t="s">
        <v>3205</v>
      </c>
      <c r="E694" s="3" t="s">
        <v>3191</v>
      </c>
      <c r="F694" s="3" t="s">
        <v>3207</v>
      </c>
      <c r="G694" s="3" t="s">
        <v>1591</v>
      </c>
      <c r="H694" s="3" t="s">
        <v>1592</v>
      </c>
      <c r="I694" s="3" t="s">
        <v>3206</v>
      </c>
      <c r="J694" s="4">
        <v>0</v>
      </c>
      <c r="K694" s="4">
        <v>0</v>
      </c>
      <c r="L694" s="4">
        <v>0</v>
      </c>
      <c r="M694" s="4">
        <v>0</v>
      </c>
      <c r="N694" s="5">
        <v>0</v>
      </c>
      <c r="O694" s="5">
        <v>0</v>
      </c>
      <c r="P694" s="5">
        <v>0</v>
      </c>
      <c r="Q694" s="5">
        <v>0</v>
      </c>
      <c r="R694" s="5">
        <v>224</v>
      </c>
      <c r="S694" s="5">
        <v>0</v>
      </c>
      <c r="T694" s="5">
        <f t="shared" si="94"/>
        <v>224</v>
      </c>
      <c r="U694" s="5">
        <v>1150</v>
      </c>
      <c r="V694" s="5">
        <v>0</v>
      </c>
      <c r="W694" s="5">
        <v>0</v>
      </c>
      <c r="X694" s="5">
        <v>50</v>
      </c>
      <c r="Y694" s="5">
        <v>1424</v>
      </c>
      <c r="Z694" s="5">
        <f t="shared" si="95"/>
        <v>1424</v>
      </c>
      <c r="AA694" s="20">
        <f t="shared" si="93"/>
        <v>0</v>
      </c>
    </row>
    <row r="695" spans="1:27" ht="12.75">
      <c r="A695" s="3" t="s">
        <v>1751</v>
      </c>
      <c r="B695" s="3" t="s">
        <v>3187</v>
      </c>
      <c r="C695" s="3" t="s">
        <v>3188</v>
      </c>
      <c r="D695" s="3" t="s">
        <v>3208</v>
      </c>
      <c r="E695" s="3" t="s">
        <v>3191</v>
      </c>
      <c r="F695" s="3" t="s">
        <v>3210</v>
      </c>
      <c r="G695" s="3" t="s">
        <v>1591</v>
      </c>
      <c r="H695" s="3" t="s">
        <v>1592</v>
      </c>
      <c r="I695" s="3" t="s">
        <v>3209</v>
      </c>
      <c r="J695" s="4">
        <v>0</v>
      </c>
      <c r="K695" s="4">
        <v>0</v>
      </c>
      <c r="L695" s="4">
        <v>0</v>
      </c>
      <c r="M695" s="4">
        <v>0</v>
      </c>
      <c r="N695" s="5">
        <v>0</v>
      </c>
      <c r="O695" s="5">
        <v>0</v>
      </c>
      <c r="P695" s="5">
        <v>0</v>
      </c>
      <c r="Q695" s="5">
        <v>0</v>
      </c>
      <c r="R695" s="5">
        <v>0</v>
      </c>
      <c r="S695" s="5">
        <v>0</v>
      </c>
      <c r="T695" s="5">
        <f t="shared" si="94"/>
        <v>0</v>
      </c>
      <c r="U695" s="5">
        <v>13625</v>
      </c>
      <c r="V695" s="5">
        <v>0</v>
      </c>
      <c r="W695" s="5">
        <v>0</v>
      </c>
      <c r="X695" s="5">
        <v>244</v>
      </c>
      <c r="Y695" s="5">
        <v>13869</v>
      </c>
      <c r="Z695" s="5">
        <f t="shared" si="95"/>
        <v>13869</v>
      </c>
      <c r="AA695" s="20">
        <f t="shared" si="93"/>
        <v>0</v>
      </c>
    </row>
    <row r="696" spans="1:27" ht="12.75">
      <c r="A696" s="3" t="s">
        <v>1584</v>
      </c>
      <c r="B696" s="3" t="s">
        <v>3187</v>
      </c>
      <c r="C696" s="3" t="s">
        <v>3188</v>
      </c>
      <c r="D696" s="3" t="s">
        <v>3211</v>
      </c>
      <c r="E696" s="19">
        <v>1700</v>
      </c>
      <c r="F696" s="19">
        <v>13177</v>
      </c>
      <c r="G696" s="19" t="s">
        <v>1591</v>
      </c>
      <c r="H696" s="19">
        <v>2000</v>
      </c>
      <c r="I696" s="3" t="s">
        <v>3212</v>
      </c>
      <c r="J696" s="4">
        <v>0</v>
      </c>
      <c r="K696" s="4">
        <v>0</v>
      </c>
      <c r="L696" s="4">
        <v>0</v>
      </c>
      <c r="M696" s="4">
        <v>0</v>
      </c>
      <c r="N696" s="5">
        <v>0</v>
      </c>
      <c r="O696" s="5">
        <v>0</v>
      </c>
      <c r="P696" s="5">
        <v>0</v>
      </c>
      <c r="Q696" s="5">
        <v>0</v>
      </c>
      <c r="R696" s="5">
        <v>0</v>
      </c>
      <c r="S696" s="5">
        <v>7000</v>
      </c>
      <c r="T696" s="5">
        <f t="shared" si="94"/>
        <v>0</v>
      </c>
      <c r="U696" s="5">
        <v>18100</v>
      </c>
      <c r="V696" s="5">
        <v>0</v>
      </c>
      <c r="W696" s="5">
        <v>700</v>
      </c>
      <c r="X696" s="5">
        <v>500</v>
      </c>
      <c r="Y696" s="5">
        <v>19300</v>
      </c>
      <c r="Z696" s="5">
        <f t="shared" si="95"/>
        <v>19300</v>
      </c>
      <c r="AA696" s="20">
        <f t="shared" si="93"/>
        <v>0</v>
      </c>
    </row>
    <row r="697" spans="1:27" ht="12.75">
      <c r="A697" s="3" t="s">
        <v>1842</v>
      </c>
      <c r="B697" s="3" t="s">
        <v>3187</v>
      </c>
      <c r="C697" s="3" t="s">
        <v>3188</v>
      </c>
      <c r="D697" s="3" t="s">
        <v>3213</v>
      </c>
      <c r="E697" s="3" t="s">
        <v>3191</v>
      </c>
      <c r="F697" s="3" t="s">
        <v>3215</v>
      </c>
      <c r="G697" s="3" t="s">
        <v>1591</v>
      </c>
      <c r="H697" s="3" t="s">
        <v>1592</v>
      </c>
      <c r="I697" s="3" t="s">
        <v>3214</v>
      </c>
      <c r="J697" s="4">
        <v>0</v>
      </c>
      <c r="K697" s="4">
        <v>1</v>
      </c>
      <c r="L697" s="4">
        <v>0</v>
      </c>
      <c r="M697" s="4">
        <v>0</v>
      </c>
      <c r="N697" s="5">
        <v>49452</v>
      </c>
      <c r="O697" s="5">
        <v>0</v>
      </c>
      <c r="P697" s="5">
        <v>154000</v>
      </c>
      <c r="Q697" s="5">
        <v>0</v>
      </c>
      <c r="R697" s="5">
        <v>37300</v>
      </c>
      <c r="S697" s="5">
        <v>45000</v>
      </c>
      <c r="T697" s="5">
        <f t="shared" si="94"/>
        <v>240752</v>
      </c>
      <c r="U697" s="5">
        <v>110000</v>
      </c>
      <c r="V697" s="5">
        <v>2500</v>
      </c>
      <c r="W697" s="5">
        <v>0</v>
      </c>
      <c r="X697" s="5">
        <v>28500</v>
      </c>
      <c r="Y697" s="5">
        <v>381752</v>
      </c>
      <c r="Z697" s="5">
        <f t="shared" si="95"/>
        <v>381752</v>
      </c>
      <c r="AA697" s="20">
        <f t="shared" si="93"/>
        <v>0</v>
      </c>
    </row>
    <row r="698" spans="1:27" ht="12.75">
      <c r="A698" s="3" t="s">
        <v>1699</v>
      </c>
      <c r="B698" s="3" t="s">
        <v>3187</v>
      </c>
      <c r="C698" s="3" t="s">
        <v>3188</v>
      </c>
      <c r="D698" s="3" t="s">
        <v>3216</v>
      </c>
      <c r="E698" s="3" t="s">
        <v>3191</v>
      </c>
      <c r="F698" s="3" t="s">
        <v>3218</v>
      </c>
      <c r="G698" s="3" t="s">
        <v>1591</v>
      </c>
      <c r="H698" s="3" t="s">
        <v>1592</v>
      </c>
      <c r="I698" s="3" t="s">
        <v>604</v>
      </c>
      <c r="J698" s="4">
        <v>0</v>
      </c>
      <c r="K698" s="4">
        <v>0</v>
      </c>
      <c r="L698" s="4">
        <v>0</v>
      </c>
      <c r="M698" s="4">
        <v>0</v>
      </c>
      <c r="N698" s="5">
        <v>0</v>
      </c>
      <c r="O698" s="5">
        <v>0</v>
      </c>
      <c r="P698" s="5">
        <v>0</v>
      </c>
      <c r="Q698" s="5">
        <v>0</v>
      </c>
      <c r="R698" s="5">
        <v>0</v>
      </c>
      <c r="S698" s="5">
        <v>200</v>
      </c>
      <c r="T698" s="5">
        <f t="shared" si="94"/>
        <v>0</v>
      </c>
      <c r="U698" s="5">
        <v>5200</v>
      </c>
      <c r="V698" s="5">
        <v>300</v>
      </c>
      <c r="W698" s="5">
        <v>0</v>
      </c>
      <c r="X698" s="5">
        <v>1500</v>
      </c>
      <c r="Y698" s="5">
        <v>7000</v>
      </c>
      <c r="Z698" s="5">
        <f t="shared" si="95"/>
        <v>7000</v>
      </c>
      <c r="AA698" s="20">
        <f t="shared" si="93"/>
        <v>0</v>
      </c>
    </row>
    <row r="699" spans="1:27" ht="12.75">
      <c r="A699" s="3" t="s">
        <v>1968</v>
      </c>
      <c r="B699" s="3" t="s">
        <v>3187</v>
      </c>
      <c r="C699" s="3" t="s">
        <v>3188</v>
      </c>
      <c r="D699" s="3" t="s">
        <v>3219</v>
      </c>
      <c r="E699" s="3" t="s">
        <v>3221</v>
      </c>
      <c r="F699" s="3" t="s">
        <v>3222</v>
      </c>
      <c r="G699" s="3" t="s">
        <v>1591</v>
      </c>
      <c r="H699" s="3" t="s">
        <v>1592</v>
      </c>
      <c r="I699" s="3" t="s">
        <v>3220</v>
      </c>
      <c r="J699" s="4">
        <v>0</v>
      </c>
      <c r="K699" s="4">
        <v>0</v>
      </c>
      <c r="L699" s="4">
        <v>1</v>
      </c>
      <c r="M699" s="4">
        <v>0</v>
      </c>
      <c r="N699" s="5">
        <v>30000</v>
      </c>
      <c r="O699" s="5">
        <v>0</v>
      </c>
      <c r="P699" s="5">
        <v>0</v>
      </c>
      <c r="Q699" s="5">
        <v>0</v>
      </c>
      <c r="R699" s="5">
        <v>0</v>
      </c>
      <c r="S699" s="5">
        <v>0</v>
      </c>
      <c r="T699" s="5">
        <f t="shared" si="94"/>
        <v>30000</v>
      </c>
      <c r="U699" s="5">
        <f>SUM(S699:S699)</f>
        <v>0</v>
      </c>
      <c r="V699" s="5">
        <v>0</v>
      </c>
      <c r="W699" s="5">
        <v>0</v>
      </c>
      <c r="X699" s="5">
        <v>0</v>
      </c>
      <c r="Y699" s="5">
        <v>30000</v>
      </c>
      <c r="Z699" s="5">
        <f t="shared" si="95"/>
        <v>30000</v>
      </c>
      <c r="AA699" s="20">
        <f t="shared" si="93"/>
        <v>0</v>
      </c>
    </row>
    <row r="700" spans="1:27" ht="12.75">
      <c r="A700" s="3" t="s">
        <v>1908</v>
      </c>
      <c r="B700" s="3" t="s">
        <v>3187</v>
      </c>
      <c r="C700" s="3" t="s">
        <v>3188</v>
      </c>
      <c r="D700" s="3" t="s">
        <v>3223</v>
      </c>
      <c r="E700" s="3" t="s">
        <v>3191</v>
      </c>
      <c r="F700" s="3" t="s">
        <v>3225</v>
      </c>
      <c r="G700" s="3" t="s">
        <v>1591</v>
      </c>
      <c r="H700" s="3" t="s">
        <v>1592</v>
      </c>
      <c r="I700" s="3" t="s">
        <v>3224</v>
      </c>
      <c r="J700" s="4">
        <v>0</v>
      </c>
      <c r="K700" s="4">
        <v>0</v>
      </c>
      <c r="L700" s="4">
        <v>0</v>
      </c>
      <c r="M700" s="4">
        <v>0</v>
      </c>
      <c r="N700" s="5">
        <v>0</v>
      </c>
      <c r="O700" s="5">
        <v>0</v>
      </c>
      <c r="P700" s="5">
        <v>0</v>
      </c>
      <c r="Q700" s="5">
        <v>0</v>
      </c>
      <c r="R700" s="5">
        <v>0</v>
      </c>
      <c r="S700" s="5">
        <v>8700</v>
      </c>
      <c r="T700" s="5">
        <f t="shared" si="94"/>
        <v>0</v>
      </c>
      <c r="U700" s="5">
        <f>58022+8700</f>
        <v>66722</v>
      </c>
      <c r="V700" s="5">
        <v>0</v>
      </c>
      <c r="W700" s="5">
        <v>0</v>
      </c>
      <c r="X700" s="5">
        <v>50</v>
      </c>
      <c r="Y700" s="5">
        <v>66772</v>
      </c>
      <c r="Z700" s="5">
        <f t="shared" si="95"/>
        <v>66772</v>
      </c>
      <c r="AA700" s="20">
        <f t="shared" si="93"/>
        <v>0</v>
      </c>
    </row>
    <row r="701" spans="1:27" ht="12.75">
      <c r="A701" s="3" t="s">
        <v>1699</v>
      </c>
      <c r="B701" s="3" t="s">
        <v>3187</v>
      </c>
      <c r="C701" s="3" t="s">
        <v>3188</v>
      </c>
      <c r="D701" s="3" t="s">
        <v>3226</v>
      </c>
      <c r="E701" s="3" t="s">
        <v>3191</v>
      </c>
      <c r="F701" s="3" t="s">
        <v>3228</v>
      </c>
      <c r="G701" s="3" t="s">
        <v>1591</v>
      </c>
      <c r="H701" s="3" t="s">
        <v>1592</v>
      </c>
      <c r="I701" s="3" t="s">
        <v>3227</v>
      </c>
      <c r="J701" s="4">
        <v>0</v>
      </c>
      <c r="K701" s="4">
        <v>0</v>
      </c>
      <c r="L701" s="4">
        <v>0</v>
      </c>
      <c r="M701" s="4">
        <v>0</v>
      </c>
      <c r="N701" s="5">
        <v>0</v>
      </c>
      <c r="O701" s="5">
        <v>0</v>
      </c>
      <c r="P701" s="5">
        <v>0</v>
      </c>
      <c r="Q701" s="5">
        <v>0</v>
      </c>
      <c r="R701" s="5">
        <v>0</v>
      </c>
      <c r="S701" s="5">
        <v>3000</v>
      </c>
      <c r="T701" s="5">
        <f t="shared" si="94"/>
        <v>0</v>
      </c>
      <c r="U701" s="5">
        <f>3000+8350</f>
        <v>11350</v>
      </c>
      <c r="V701" s="5">
        <v>0</v>
      </c>
      <c r="W701" s="5">
        <v>0</v>
      </c>
      <c r="X701" s="5">
        <v>750</v>
      </c>
      <c r="Y701" s="5">
        <v>12100</v>
      </c>
      <c r="Z701" s="5">
        <f t="shared" si="95"/>
        <v>12100</v>
      </c>
      <c r="AA701" s="20">
        <f t="shared" si="93"/>
        <v>0</v>
      </c>
    </row>
    <row r="702" spans="1:27" ht="12.75">
      <c r="A702" s="3" t="s">
        <v>1699</v>
      </c>
      <c r="B702" s="3" t="s">
        <v>3187</v>
      </c>
      <c r="C702" s="3" t="s">
        <v>3188</v>
      </c>
      <c r="D702" s="3" t="s">
        <v>3229</v>
      </c>
      <c r="E702" s="3" t="s">
        <v>3191</v>
      </c>
      <c r="F702" s="3" t="s">
        <v>3231</v>
      </c>
      <c r="G702" s="3" t="s">
        <v>1591</v>
      </c>
      <c r="H702" s="3" t="s">
        <v>1592</v>
      </c>
      <c r="I702" s="3" t="s">
        <v>605</v>
      </c>
      <c r="J702" s="4">
        <v>0</v>
      </c>
      <c r="K702" s="4">
        <v>0</v>
      </c>
      <c r="L702" s="4">
        <v>0.081</v>
      </c>
      <c r="M702" s="4">
        <v>0</v>
      </c>
      <c r="N702" s="5">
        <v>1548</v>
      </c>
      <c r="O702" s="5">
        <v>0</v>
      </c>
      <c r="P702" s="5">
        <v>0</v>
      </c>
      <c r="Q702" s="5">
        <v>0</v>
      </c>
      <c r="R702" s="5">
        <v>0</v>
      </c>
      <c r="S702" s="5">
        <v>800</v>
      </c>
      <c r="T702" s="5">
        <f t="shared" si="94"/>
        <v>1548</v>
      </c>
      <c r="U702" s="5">
        <f>800+150</f>
        <v>950</v>
      </c>
      <c r="V702" s="5">
        <v>0</v>
      </c>
      <c r="W702" s="5">
        <v>0</v>
      </c>
      <c r="X702" s="5">
        <v>0</v>
      </c>
      <c r="Y702" s="5">
        <v>2498</v>
      </c>
      <c r="Z702" s="5">
        <f t="shared" si="95"/>
        <v>2498</v>
      </c>
      <c r="AA702" s="20">
        <f t="shared" si="93"/>
        <v>0</v>
      </c>
    </row>
    <row r="703" spans="1:27" ht="12.75">
      <c r="A703" s="3" t="s">
        <v>1751</v>
      </c>
      <c r="B703" s="3" t="s">
        <v>3187</v>
      </c>
      <c r="C703" s="3" t="s">
        <v>3188</v>
      </c>
      <c r="D703" s="3" t="s">
        <v>3232</v>
      </c>
      <c r="E703" s="3" t="s">
        <v>3191</v>
      </c>
      <c r="F703" s="3" t="s">
        <v>3234</v>
      </c>
      <c r="G703" s="3" t="s">
        <v>1591</v>
      </c>
      <c r="H703" s="3" t="s">
        <v>1592</v>
      </c>
      <c r="I703" s="3" t="s">
        <v>3233</v>
      </c>
      <c r="J703" s="4">
        <v>0</v>
      </c>
      <c r="K703" s="4">
        <v>0</v>
      </c>
      <c r="L703" s="4">
        <v>0</v>
      </c>
      <c r="M703" s="4">
        <v>0</v>
      </c>
      <c r="N703" s="5">
        <v>0</v>
      </c>
      <c r="O703" s="5">
        <v>0</v>
      </c>
      <c r="P703" s="5">
        <v>0</v>
      </c>
      <c r="Q703" s="5">
        <v>0</v>
      </c>
      <c r="R703" s="5">
        <v>0</v>
      </c>
      <c r="S703" s="5">
        <v>0</v>
      </c>
      <c r="T703" s="5">
        <f t="shared" si="94"/>
        <v>0</v>
      </c>
      <c r="U703" s="5">
        <v>6640</v>
      </c>
      <c r="V703" s="5">
        <v>0</v>
      </c>
      <c r="W703" s="5">
        <v>0</v>
      </c>
      <c r="X703" s="5">
        <v>136</v>
      </c>
      <c r="Y703" s="5">
        <v>6776</v>
      </c>
      <c r="Z703" s="5">
        <f t="shared" si="95"/>
        <v>6776</v>
      </c>
      <c r="AA703" s="20">
        <f t="shared" si="93"/>
        <v>0</v>
      </c>
    </row>
    <row r="704" spans="1:27" ht="12.75">
      <c r="A704" s="3" t="s">
        <v>1936</v>
      </c>
      <c r="B704" s="3" t="s">
        <v>3187</v>
      </c>
      <c r="C704" s="3" t="s">
        <v>3188</v>
      </c>
      <c r="D704" s="3" t="s">
        <v>3235</v>
      </c>
      <c r="E704" s="3" t="s">
        <v>3191</v>
      </c>
      <c r="F704" s="3" t="s">
        <v>3237</v>
      </c>
      <c r="G704" s="3" t="s">
        <v>1591</v>
      </c>
      <c r="H704" s="3" t="s">
        <v>1592</v>
      </c>
      <c r="I704" s="3" t="s">
        <v>3236</v>
      </c>
      <c r="J704" s="4">
        <v>0</v>
      </c>
      <c r="K704" s="4">
        <v>0</v>
      </c>
      <c r="L704" s="4">
        <v>0</v>
      </c>
      <c r="M704" s="4">
        <v>0</v>
      </c>
      <c r="N704" s="5">
        <v>0</v>
      </c>
      <c r="O704" s="5">
        <v>0</v>
      </c>
      <c r="P704" s="5">
        <v>0</v>
      </c>
      <c r="Q704" s="5">
        <v>0</v>
      </c>
      <c r="R704" s="5">
        <v>0</v>
      </c>
      <c r="S704" s="5">
        <v>100</v>
      </c>
      <c r="T704" s="5">
        <f t="shared" si="94"/>
        <v>0</v>
      </c>
      <c r="U704" s="5">
        <f>100+4000</f>
        <v>4100</v>
      </c>
      <c r="V704" s="5">
        <v>0</v>
      </c>
      <c r="W704" s="5">
        <v>0</v>
      </c>
      <c r="X704" s="5">
        <v>0</v>
      </c>
      <c r="Y704" s="5">
        <v>4100</v>
      </c>
      <c r="Z704" s="5">
        <f t="shared" si="95"/>
        <v>4100</v>
      </c>
      <c r="AA704" s="20">
        <f t="shared" si="93"/>
        <v>0</v>
      </c>
    </row>
    <row r="705" spans="1:27" ht="12.75">
      <c r="A705" s="3" t="s">
        <v>1842</v>
      </c>
      <c r="B705" s="3" t="s">
        <v>3187</v>
      </c>
      <c r="C705" s="3" t="s">
        <v>3188</v>
      </c>
      <c r="D705" s="3" t="s">
        <v>3238</v>
      </c>
      <c r="E705" s="3" t="s">
        <v>3191</v>
      </c>
      <c r="F705" s="3" t="s">
        <v>3240</v>
      </c>
      <c r="G705" s="3" t="s">
        <v>1591</v>
      </c>
      <c r="H705" s="3" t="s">
        <v>1592</v>
      </c>
      <c r="I705" s="3" t="s">
        <v>607</v>
      </c>
      <c r="J705" s="4">
        <v>0</v>
      </c>
      <c r="K705" s="4">
        <v>0</v>
      </c>
      <c r="L705" s="4">
        <v>1.5</v>
      </c>
      <c r="M705" s="4">
        <v>0</v>
      </c>
      <c r="N705" s="5">
        <v>31350</v>
      </c>
      <c r="O705" s="5">
        <v>0</v>
      </c>
      <c r="P705" s="5">
        <v>0</v>
      </c>
      <c r="Q705" s="5">
        <v>0</v>
      </c>
      <c r="R705" s="5">
        <v>5106</v>
      </c>
      <c r="S705" s="5">
        <v>13126</v>
      </c>
      <c r="T705" s="5">
        <f t="shared" si="94"/>
        <v>36456</v>
      </c>
      <c r="U705" s="5">
        <f>13126+35000</f>
        <v>48126</v>
      </c>
      <c r="V705" s="5">
        <v>0</v>
      </c>
      <c r="W705" s="5">
        <v>0</v>
      </c>
      <c r="X705" s="5">
        <v>25000</v>
      </c>
      <c r="Y705" s="5">
        <v>109582</v>
      </c>
      <c r="Z705" s="5">
        <f t="shared" si="95"/>
        <v>109582</v>
      </c>
      <c r="AA705" s="20">
        <f t="shared" si="93"/>
        <v>0</v>
      </c>
    </row>
    <row r="706" spans="1:27" ht="12.75">
      <c r="A706" s="3" t="s">
        <v>1936</v>
      </c>
      <c r="B706" s="3" t="s">
        <v>3187</v>
      </c>
      <c r="C706" s="3" t="s">
        <v>3188</v>
      </c>
      <c r="D706" s="3" t="s">
        <v>3241</v>
      </c>
      <c r="E706" s="3" t="s">
        <v>3191</v>
      </c>
      <c r="F706" s="3" t="s">
        <v>3243</v>
      </c>
      <c r="G706" s="3" t="s">
        <v>1591</v>
      </c>
      <c r="H706" s="3" t="s">
        <v>1592</v>
      </c>
      <c r="I706" s="3" t="s">
        <v>606</v>
      </c>
      <c r="J706" s="4">
        <v>0</v>
      </c>
      <c r="K706" s="4">
        <v>0</v>
      </c>
      <c r="L706" s="4">
        <v>0</v>
      </c>
      <c r="M706" s="4">
        <v>0</v>
      </c>
      <c r="N706" s="5">
        <v>0</v>
      </c>
      <c r="O706" s="5">
        <v>0</v>
      </c>
      <c r="P706" s="5">
        <v>0</v>
      </c>
      <c r="Q706" s="5">
        <v>0</v>
      </c>
      <c r="R706" s="5">
        <v>0</v>
      </c>
      <c r="S706" s="5">
        <v>0</v>
      </c>
      <c r="T706" s="5">
        <f t="shared" si="94"/>
        <v>0</v>
      </c>
      <c r="U706" s="5">
        <v>1500</v>
      </c>
      <c r="V706" s="5">
        <v>0</v>
      </c>
      <c r="W706" s="5">
        <v>0</v>
      </c>
      <c r="X706" s="5">
        <v>0</v>
      </c>
      <c r="Y706" s="5">
        <v>1500</v>
      </c>
      <c r="Z706" s="5">
        <f t="shared" si="95"/>
        <v>1500</v>
      </c>
      <c r="AA706" s="20">
        <f t="shared" si="93"/>
        <v>0</v>
      </c>
    </row>
    <row r="707" spans="1:27" ht="12.75">
      <c r="A707" s="3" t="s">
        <v>1751</v>
      </c>
      <c r="B707" s="3" t="s">
        <v>3187</v>
      </c>
      <c r="C707" s="3" t="s">
        <v>3188</v>
      </c>
      <c r="D707" s="3" t="s">
        <v>3244</v>
      </c>
      <c r="E707" s="3" t="s">
        <v>3191</v>
      </c>
      <c r="F707" s="3" t="s">
        <v>3246</v>
      </c>
      <c r="G707" s="3" t="s">
        <v>1591</v>
      </c>
      <c r="H707" s="3" t="s">
        <v>1592</v>
      </c>
      <c r="I707" s="3" t="s">
        <v>3245</v>
      </c>
      <c r="J707" s="4">
        <v>0</v>
      </c>
      <c r="K707" s="4">
        <v>0</v>
      </c>
      <c r="L707" s="4">
        <v>0</v>
      </c>
      <c r="M707" s="4">
        <v>0</v>
      </c>
      <c r="N707" s="5">
        <v>0</v>
      </c>
      <c r="O707" s="5">
        <v>0</v>
      </c>
      <c r="P707" s="5">
        <v>0</v>
      </c>
      <c r="Q707" s="5">
        <v>0</v>
      </c>
      <c r="R707" s="5">
        <v>0</v>
      </c>
      <c r="S707" s="5">
        <v>0</v>
      </c>
      <c r="T707" s="5">
        <f t="shared" si="94"/>
        <v>0</v>
      </c>
      <c r="U707" s="5">
        <v>1184</v>
      </c>
      <c r="V707" s="5">
        <v>0</v>
      </c>
      <c r="W707" s="5">
        <v>0</v>
      </c>
      <c r="X707" s="5">
        <v>2165</v>
      </c>
      <c r="Y707" s="5">
        <v>3349</v>
      </c>
      <c r="Z707" s="5">
        <f t="shared" si="95"/>
        <v>3349</v>
      </c>
      <c r="AA707" s="20">
        <f t="shared" si="93"/>
        <v>0</v>
      </c>
    </row>
    <row r="708" spans="1:27" ht="12.75">
      <c r="A708" s="3" t="s">
        <v>1842</v>
      </c>
      <c r="B708" s="3" t="s">
        <v>3187</v>
      </c>
      <c r="C708" s="3" t="s">
        <v>3188</v>
      </c>
      <c r="D708" s="3" t="s">
        <v>3247</v>
      </c>
      <c r="E708" s="3" t="s">
        <v>3191</v>
      </c>
      <c r="F708" s="3" t="s">
        <v>3249</v>
      </c>
      <c r="G708" s="3" t="s">
        <v>1591</v>
      </c>
      <c r="H708" s="3" t="s">
        <v>1592</v>
      </c>
      <c r="I708" s="3" t="s">
        <v>3248</v>
      </c>
      <c r="J708" s="4">
        <v>0</v>
      </c>
      <c r="K708" s="4">
        <v>0</v>
      </c>
      <c r="L708" s="4">
        <v>2</v>
      </c>
      <c r="M708" s="4">
        <v>0</v>
      </c>
      <c r="N708" s="5">
        <v>37704</v>
      </c>
      <c r="O708" s="5">
        <v>0</v>
      </c>
      <c r="P708" s="5">
        <v>5090</v>
      </c>
      <c r="Q708" s="5">
        <v>0</v>
      </c>
      <c r="R708" s="5">
        <v>10691</v>
      </c>
      <c r="S708" s="5">
        <v>0</v>
      </c>
      <c r="T708" s="5">
        <f t="shared" si="94"/>
        <v>53485</v>
      </c>
      <c r="U708" s="5">
        <v>16000</v>
      </c>
      <c r="V708" s="5">
        <v>0</v>
      </c>
      <c r="W708" s="5">
        <v>360</v>
      </c>
      <c r="X708" s="5">
        <v>0</v>
      </c>
      <c r="Y708" s="5">
        <v>69845</v>
      </c>
      <c r="Z708" s="5">
        <f t="shared" si="95"/>
        <v>69845</v>
      </c>
      <c r="AA708" s="20">
        <f t="shared" si="93"/>
        <v>0</v>
      </c>
    </row>
    <row r="709" spans="1:27" ht="12.75">
      <c r="A709" s="3" t="s">
        <v>1842</v>
      </c>
      <c r="B709" s="3" t="s">
        <v>3187</v>
      </c>
      <c r="C709" s="3" t="s">
        <v>3188</v>
      </c>
      <c r="D709" s="3" t="s">
        <v>3250</v>
      </c>
      <c r="E709" s="3" t="s">
        <v>3252</v>
      </c>
      <c r="F709" s="3" t="s">
        <v>3253</v>
      </c>
      <c r="G709" s="3" t="s">
        <v>1591</v>
      </c>
      <c r="H709" s="3" t="s">
        <v>1592</v>
      </c>
      <c r="I709" s="3" t="s">
        <v>3251</v>
      </c>
      <c r="J709" s="4">
        <v>0</v>
      </c>
      <c r="K709" s="4">
        <v>2</v>
      </c>
      <c r="L709" s="4">
        <v>0</v>
      </c>
      <c r="M709" s="4">
        <v>1</v>
      </c>
      <c r="N709" s="5">
        <v>94212</v>
      </c>
      <c r="O709" s="5">
        <v>0</v>
      </c>
      <c r="P709" s="5">
        <v>171792</v>
      </c>
      <c r="Q709" s="5">
        <v>0</v>
      </c>
      <c r="R709" s="5">
        <v>21100</v>
      </c>
      <c r="S709" s="5">
        <v>10000</v>
      </c>
      <c r="T709" s="5">
        <f t="shared" si="94"/>
        <v>287104</v>
      </c>
      <c r="U709" s="5">
        <f>10000+26699</f>
        <v>36699</v>
      </c>
      <c r="V709" s="5">
        <v>0</v>
      </c>
      <c r="W709" s="5">
        <v>0</v>
      </c>
      <c r="X709" s="5">
        <v>15000</v>
      </c>
      <c r="Y709" s="5">
        <v>338803</v>
      </c>
      <c r="Z709" s="5">
        <f t="shared" si="95"/>
        <v>338803</v>
      </c>
      <c r="AA709" s="20">
        <f t="shared" si="93"/>
        <v>0</v>
      </c>
    </row>
    <row r="710" spans="1:27" ht="12.75">
      <c r="A710" s="3" t="s">
        <v>1908</v>
      </c>
      <c r="B710" s="3" t="s">
        <v>3187</v>
      </c>
      <c r="C710" s="3" t="s">
        <v>3188</v>
      </c>
      <c r="D710" s="3" t="s">
        <v>3254</v>
      </c>
      <c r="E710" s="3" t="s">
        <v>3191</v>
      </c>
      <c r="F710" s="3" t="s">
        <v>3256</v>
      </c>
      <c r="G710" s="3" t="s">
        <v>1591</v>
      </c>
      <c r="H710" s="3" t="s">
        <v>1592</v>
      </c>
      <c r="I710" s="3" t="s">
        <v>3255</v>
      </c>
      <c r="J710" s="4">
        <v>0</v>
      </c>
      <c r="K710" s="4">
        <v>0</v>
      </c>
      <c r="L710" s="4">
        <v>0</v>
      </c>
      <c r="M710" s="4">
        <v>0</v>
      </c>
      <c r="N710" s="5">
        <v>0</v>
      </c>
      <c r="O710" s="5">
        <v>0</v>
      </c>
      <c r="P710" s="5">
        <v>0</v>
      </c>
      <c r="Q710" s="5">
        <v>0</v>
      </c>
      <c r="R710" s="5">
        <v>0</v>
      </c>
      <c r="S710" s="5">
        <v>0</v>
      </c>
      <c r="T710" s="5">
        <f t="shared" si="94"/>
        <v>0</v>
      </c>
      <c r="U710" s="5">
        <v>1500</v>
      </c>
      <c r="V710" s="5">
        <v>0</v>
      </c>
      <c r="W710" s="5">
        <v>0</v>
      </c>
      <c r="X710" s="5">
        <v>0</v>
      </c>
      <c r="Y710" s="5">
        <v>1500</v>
      </c>
      <c r="Z710" s="5">
        <f t="shared" si="95"/>
        <v>1500</v>
      </c>
      <c r="AA710" s="20">
        <f t="shared" si="93"/>
        <v>0</v>
      </c>
    </row>
    <row r="711" spans="1:27" ht="12.75">
      <c r="A711" s="3" t="s">
        <v>1936</v>
      </c>
      <c r="B711" s="3" t="s">
        <v>3187</v>
      </c>
      <c r="C711" s="3" t="s">
        <v>3188</v>
      </c>
      <c r="D711" s="3" t="s">
        <v>3257</v>
      </c>
      <c r="E711" s="3" t="s">
        <v>3191</v>
      </c>
      <c r="F711" s="3" t="s">
        <v>3259</v>
      </c>
      <c r="G711" s="3" t="s">
        <v>1591</v>
      </c>
      <c r="H711" s="3" t="s">
        <v>1592</v>
      </c>
      <c r="I711" s="3" t="s">
        <v>3258</v>
      </c>
      <c r="J711" s="4">
        <v>0</v>
      </c>
      <c r="K711" s="4">
        <v>0</v>
      </c>
      <c r="L711" s="4">
        <v>0</v>
      </c>
      <c r="M711" s="4">
        <v>0</v>
      </c>
      <c r="N711" s="5">
        <v>0</v>
      </c>
      <c r="O711" s="5">
        <v>0</v>
      </c>
      <c r="P711" s="5">
        <v>0</v>
      </c>
      <c r="Q711" s="5">
        <v>0</v>
      </c>
      <c r="R711" s="5">
        <v>0</v>
      </c>
      <c r="S711" s="5">
        <v>0</v>
      </c>
      <c r="T711" s="5">
        <f t="shared" si="94"/>
        <v>0</v>
      </c>
      <c r="U711" s="5">
        <v>800</v>
      </c>
      <c r="V711" s="5">
        <v>0</v>
      </c>
      <c r="W711" s="5">
        <v>0</v>
      </c>
      <c r="X711" s="5">
        <v>0</v>
      </c>
      <c r="Y711" s="5">
        <v>800</v>
      </c>
      <c r="Z711" s="5">
        <f t="shared" si="95"/>
        <v>800</v>
      </c>
      <c r="AA711" s="20">
        <f t="shared" si="93"/>
        <v>0</v>
      </c>
    </row>
    <row r="712" spans="1:27" ht="12.75">
      <c r="A712" s="3" t="s">
        <v>1751</v>
      </c>
      <c r="B712" s="3" t="s">
        <v>3187</v>
      </c>
      <c r="C712" s="3" t="s">
        <v>3188</v>
      </c>
      <c r="D712" s="3" t="s">
        <v>3260</v>
      </c>
      <c r="E712" s="3" t="s">
        <v>3191</v>
      </c>
      <c r="F712" s="3" t="s">
        <v>3262</v>
      </c>
      <c r="G712" s="3" t="s">
        <v>1591</v>
      </c>
      <c r="H712" s="3" t="s">
        <v>1592</v>
      </c>
      <c r="I712" s="3" t="s">
        <v>3261</v>
      </c>
      <c r="J712" s="4">
        <v>0</v>
      </c>
      <c r="K712" s="4">
        <v>0</v>
      </c>
      <c r="L712" s="4">
        <v>0</v>
      </c>
      <c r="M712" s="4">
        <v>0</v>
      </c>
      <c r="N712" s="5">
        <v>0</v>
      </c>
      <c r="O712" s="5">
        <v>0</v>
      </c>
      <c r="P712" s="5">
        <v>0</v>
      </c>
      <c r="Q712" s="5">
        <v>0</v>
      </c>
      <c r="R712" s="5">
        <v>0</v>
      </c>
      <c r="S712" s="5">
        <v>1459</v>
      </c>
      <c r="T712" s="5">
        <f t="shared" si="94"/>
        <v>0</v>
      </c>
      <c r="U712" s="5">
        <f>1459+11670</f>
        <v>13129</v>
      </c>
      <c r="V712" s="5">
        <v>0</v>
      </c>
      <c r="W712" s="5">
        <v>0</v>
      </c>
      <c r="X712" s="5">
        <v>0</v>
      </c>
      <c r="Y712" s="5">
        <v>13129</v>
      </c>
      <c r="Z712" s="5">
        <f t="shared" si="95"/>
        <v>13129</v>
      </c>
      <c r="AA712" s="20">
        <f t="shared" si="93"/>
        <v>0</v>
      </c>
    </row>
    <row r="713" spans="1:27" ht="12.75">
      <c r="A713" s="3" t="s">
        <v>1751</v>
      </c>
      <c r="B713" s="3" t="s">
        <v>3187</v>
      </c>
      <c r="C713" s="3" t="s">
        <v>3188</v>
      </c>
      <c r="D713" s="3" t="s">
        <v>3263</v>
      </c>
      <c r="E713" s="3" t="s">
        <v>3191</v>
      </c>
      <c r="F713" s="3" t="s">
        <v>3265</v>
      </c>
      <c r="G713" s="3" t="s">
        <v>1591</v>
      </c>
      <c r="H713" s="3" t="s">
        <v>1592</v>
      </c>
      <c r="I713" s="3" t="s">
        <v>3264</v>
      </c>
      <c r="J713" s="4">
        <v>0</v>
      </c>
      <c r="K713" s="4">
        <v>0</v>
      </c>
      <c r="L713" s="4">
        <v>0</v>
      </c>
      <c r="M713" s="4">
        <v>0</v>
      </c>
      <c r="N713" s="5">
        <v>0</v>
      </c>
      <c r="O713" s="5">
        <v>0</v>
      </c>
      <c r="P713" s="5">
        <v>0</v>
      </c>
      <c r="Q713" s="5">
        <v>0</v>
      </c>
      <c r="R713" s="5">
        <v>0</v>
      </c>
      <c r="S713" s="5">
        <v>736</v>
      </c>
      <c r="T713" s="5">
        <f t="shared" si="94"/>
        <v>0</v>
      </c>
      <c r="U713" s="5">
        <f>736+2660</f>
        <v>3396</v>
      </c>
      <c r="V713" s="5">
        <v>0</v>
      </c>
      <c r="W713" s="5">
        <v>0</v>
      </c>
      <c r="X713" s="5">
        <v>0</v>
      </c>
      <c r="Y713" s="5">
        <v>3396</v>
      </c>
      <c r="Z713" s="5">
        <f t="shared" si="95"/>
        <v>3396</v>
      </c>
      <c r="AA713" s="20">
        <f t="shared" si="93"/>
        <v>0</v>
      </c>
    </row>
    <row r="714" spans="1:27" ht="12.75">
      <c r="A714" s="3" t="s">
        <v>1871</v>
      </c>
      <c r="B714" s="3" t="s">
        <v>3187</v>
      </c>
      <c r="C714" s="3" t="s">
        <v>3188</v>
      </c>
      <c r="D714" s="3" t="s">
        <v>3266</v>
      </c>
      <c r="E714" s="3" t="s">
        <v>3191</v>
      </c>
      <c r="F714" s="3" t="s">
        <v>3268</v>
      </c>
      <c r="G714" s="3" t="s">
        <v>1591</v>
      </c>
      <c r="H714" s="3" t="s">
        <v>1592</v>
      </c>
      <c r="I714" s="3" t="s">
        <v>3267</v>
      </c>
      <c r="J714" s="4">
        <v>0</v>
      </c>
      <c r="K714" s="4">
        <v>0</v>
      </c>
      <c r="L714" s="4">
        <v>0</v>
      </c>
      <c r="M714" s="4">
        <v>0</v>
      </c>
      <c r="N714" s="5">
        <v>0</v>
      </c>
      <c r="O714" s="5">
        <v>0</v>
      </c>
      <c r="P714" s="5">
        <v>0</v>
      </c>
      <c r="Q714" s="5">
        <v>0</v>
      </c>
      <c r="R714" s="5">
        <v>0</v>
      </c>
      <c r="S714" s="5">
        <v>10000</v>
      </c>
      <c r="T714" s="5">
        <f t="shared" si="94"/>
        <v>0</v>
      </c>
      <c r="U714" s="5">
        <f>10000+3000</f>
        <v>13000</v>
      </c>
      <c r="V714" s="5">
        <v>0</v>
      </c>
      <c r="W714" s="5">
        <v>0</v>
      </c>
      <c r="X714" s="5">
        <v>5000</v>
      </c>
      <c r="Y714" s="5">
        <v>18000</v>
      </c>
      <c r="Z714" s="5">
        <f t="shared" si="95"/>
        <v>18000</v>
      </c>
      <c r="AA714" s="20">
        <f t="shared" si="93"/>
        <v>0</v>
      </c>
    </row>
    <row r="715" spans="1:27" ht="12.75">
      <c r="A715" s="3" t="s">
        <v>1751</v>
      </c>
      <c r="B715" s="3" t="s">
        <v>3187</v>
      </c>
      <c r="C715" s="3" t="s">
        <v>3188</v>
      </c>
      <c r="D715" s="3" t="s">
        <v>3269</v>
      </c>
      <c r="E715" s="3" t="s">
        <v>3191</v>
      </c>
      <c r="F715" s="3" t="s">
        <v>3271</v>
      </c>
      <c r="G715" s="3" t="s">
        <v>1591</v>
      </c>
      <c r="H715" s="3" t="s">
        <v>1592</v>
      </c>
      <c r="I715" s="3" t="s">
        <v>3270</v>
      </c>
      <c r="J715" s="4">
        <v>0</v>
      </c>
      <c r="K715" s="4">
        <v>0</v>
      </c>
      <c r="L715" s="4">
        <v>0</v>
      </c>
      <c r="M715" s="4">
        <v>0</v>
      </c>
      <c r="N715" s="5">
        <v>0</v>
      </c>
      <c r="O715" s="5">
        <v>0</v>
      </c>
      <c r="P715" s="5">
        <v>0</v>
      </c>
      <c r="Q715" s="5">
        <v>0</v>
      </c>
      <c r="R715" s="5">
        <v>0</v>
      </c>
      <c r="S715" s="5">
        <v>0</v>
      </c>
      <c r="T715" s="5">
        <f t="shared" si="94"/>
        <v>0</v>
      </c>
      <c r="U715" s="5">
        <v>1000</v>
      </c>
      <c r="V715" s="5">
        <v>0</v>
      </c>
      <c r="W715" s="5">
        <v>0</v>
      </c>
      <c r="X715" s="5">
        <v>0</v>
      </c>
      <c r="Y715" s="5">
        <v>1000</v>
      </c>
      <c r="Z715" s="5">
        <f t="shared" si="95"/>
        <v>1000</v>
      </c>
      <c r="AA715" s="20">
        <f t="shared" si="93"/>
        <v>0</v>
      </c>
    </row>
    <row r="716" spans="1:27" ht="12.75">
      <c r="A716" s="3" t="s">
        <v>1964</v>
      </c>
      <c r="B716" s="3" t="s">
        <v>3187</v>
      </c>
      <c r="C716" s="3" t="s">
        <v>3188</v>
      </c>
      <c r="D716" s="3" t="s">
        <v>3272</v>
      </c>
      <c r="E716" s="3" t="s">
        <v>3191</v>
      </c>
      <c r="F716" s="3" t="s">
        <v>3274</v>
      </c>
      <c r="G716" s="3" t="s">
        <v>1591</v>
      </c>
      <c r="H716" s="3" t="s">
        <v>1592</v>
      </c>
      <c r="I716" s="3" t="s">
        <v>3273</v>
      </c>
      <c r="J716" s="4">
        <v>0</v>
      </c>
      <c r="K716" s="4">
        <v>0</v>
      </c>
      <c r="L716" s="4">
        <v>0</v>
      </c>
      <c r="M716" s="4">
        <v>0</v>
      </c>
      <c r="N716" s="5">
        <v>0</v>
      </c>
      <c r="O716" s="5">
        <v>0</v>
      </c>
      <c r="P716" s="5">
        <v>0</v>
      </c>
      <c r="Q716" s="5">
        <v>0</v>
      </c>
      <c r="R716" s="5">
        <v>0</v>
      </c>
      <c r="S716" s="5">
        <v>2000</v>
      </c>
      <c r="T716" s="5">
        <f t="shared" si="94"/>
        <v>0</v>
      </c>
      <c r="U716" s="5">
        <f>2000+30722</f>
        <v>32722</v>
      </c>
      <c r="V716" s="5">
        <v>0</v>
      </c>
      <c r="W716" s="5">
        <v>0</v>
      </c>
      <c r="X716" s="5">
        <v>2000</v>
      </c>
      <c r="Y716" s="5">
        <v>34722</v>
      </c>
      <c r="Z716" s="5">
        <f t="shared" si="95"/>
        <v>34722</v>
      </c>
      <c r="AA716" s="20">
        <f t="shared" si="93"/>
        <v>0</v>
      </c>
    </row>
    <row r="717" spans="1:27" ht="12.75">
      <c r="A717" s="3" t="s">
        <v>1699</v>
      </c>
      <c r="B717" s="3" t="s">
        <v>3187</v>
      </c>
      <c r="C717" s="3" t="s">
        <v>3188</v>
      </c>
      <c r="D717" s="3" t="s">
        <v>0</v>
      </c>
      <c r="E717" s="3" t="s">
        <v>3191</v>
      </c>
      <c r="F717" s="3" t="s">
        <v>2</v>
      </c>
      <c r="G717" s="3" t="s">
        <v>1591</v>
      </c>
      <c r="H717" s="3" t="s">
        <v>1592</v>
      </c>
      <c r="I717" s="3" t="s">
        <v>608</v>
      </c>
      <c r="J717" s="4">
        <v>0</v>
      </c>
      <c r="K717" s="4">
        <v>0</v>
      </c>
      <c r="L717" s="4">
        <v>0</v>
      </c>
      <c r="M717" s="4">
        <v>0</v>
      </c>
      <c r="N717" s="5">
        <v>0</v>
      </c>
      <c r="O717" s="5">
        <v>0</v>
      </c>
      <c r="P717" s="5">
        <v>0</v>
      </c>
      <c r="Q717" s="5">
        <v>0</v>
      </c>
      <c r="R717" s="5">
        <v>0</v>
      </c>
      <c r="S717" s="5">
        <v>3300</v>
      </c>
      <c r="T717" s="5">
        <f t="shared" si="94"/>
        <v>0</v>
      </c>
      <c r="U717" s="5">
        <f>3300+1950</f>
        <v>5250</v>
      </c>
      <c r="V717" s="5">
        <v>0</v>
      </c>
      <c r="W717" s="5">
        <v>0</v>
      </c>
      <c r="X717" s="5">
        <v>75</v>
      </c>
      <c r="Y717" s="5">
        <v>5325</v>
      </c>
      <c r="Z717" s="5">
        <f t="shared" si="95"/>
        <v>5325</v>
      </c>
      <c r="AA717" s="20">
        <f t="shared" si="93"/>
        <v>0</v>
      </c>
    </row>
    <row r="718" spans="1:27" ht="12.75">
      <c r="A718" s="3" t="s">
        <v>1842</v>
      </c>
      <c r="B718" s="3" t="s">
        <v>3187</v>
      </c>
      <c r="C718" s="3" t="s">
        <v>3188</v>
      </c>
      <c r="D718" s="3" t="s">
        <v>3</v>
      </c>
      <c r="E718" s="3" t="s">
        <v>3191</v>
      </c>
      <c r="F718" s="3" t="s">
        <v>5</v>
      </c>
      <c r="G718" s="3" t="s">
        <v>1591</v>
      </c>
      <c r="H718" s="3" t="s">
        <v>1592</v>
      </c>
      <c r="I718" s="3" t="s">
        <v>4</v>
      </c>
      <c r="J718" s="4">
        <v>0</v>
      </c>
      <c r="K718" s="4">
        <v>0</v>
      </c>
      <c r="L718" s="4">
        <v>0</v>
      </c>
      <c r="M718" s="4">
        <v>0</v>
      </c>
      <c r="N718" s="5">
        <v>0</v>
      </c>
      <c r="O718" s="5">
        <v>0</v>
      </c>
      <c r="P718" s="5">
        <v>28000</v>
      </c>
      <c r="Q718" s="5">
        <v>0</v>
      </c>
      <c r="R718" s="5">
        <v>5320</v>
      </c>
      <c r="S718" s="5">
        <v>40000</v>
      </c>
      <c r="T718" s="5">
        <f t="shared" si="94"/>
        <v>33320</v>
      </c>
      <c r="U718" s="5">
        <f>40000+20000</f>
        <v>60000</v>
      </c>
      <c r="V718" s="5">
        <v>0</v>
      </c>
      <c r="W718" s="5">
        <v>0</v>
      </c>
      <c r="X718" s="5">
        <v>0</v>
      </c>
      <c r="Y718" s="5">
        <v>93320</v>
      </c>
      <c r="Z718" s="5">
        <f t="shared" si="95"/>
        <v>93320</v>
      </c>
      <c r="AA718" s="20">
        <f t="shared" si="93"/>
        <v>0</v>
      </c>
    </row>
    <row r="719" spans="1:27" ht="12.75">
      <c r="A719" s="3" t="s">
        <v>1936</v>
      </c>
      <c r="B719" s="3" t="s">
        <v>3187</v>
      </c>
      <c r="C719" s="3" t="s">
        <v>3188</v>
      </c>
      <c r="D719" s="3" t="s">
        <v>6</v>
      </c>
      <c r="E719" s="3" t="s">
        <v>3191</v>
      </c>
      <c r="F719" s="3" t="s">
        <v>8</v>
      </c>
      <c r="G719" s="3" t="s">
        <v>1591</v>
      </c>
      <c r="H719" s="3" t="s">
        <v>1592</v>
      </c>
      <c r="I719" s="3" t="s">
        <v>7</v>
      </c>
      <c r="J719" s="4">
        <v>0</v>
      </c>
      <c r="K719" s="4">
        <v>0</v>
      </c>
      <c r="L719" s="4">
        <v>0</v>
      </c>
      <c r="M719" s="4">
        <v>0</v>
      </c>
      <c r="N719" s="5">
        <v>0</v>
      </c>
      <c r="O719" s="5">
        <v>0</v>
      </c>
      <c r="P719" s="5">
        <v>0</v>
      </c>
      <c r="Q719" s="5">
        <v>0</v>
      </c>
      <c r="R719" s="5">
        <v>0</v>
      </c>
      <c r="S719" s="5">
        <v>0</v>
      </c>
      <c r="T719" s="5">
        <f t="shared" si="94"/>
        <v>0</v>
      </c>
      <c r="U719" s="5">
        <v>3000</v>
      </c>
      <c r="V719" s="5">
        <v>0</v>
      </c>
      <c r="W719" s="5">
        <v>0</v>
      </c>
      <c r="X719" s="5">
        <v>1000</v>
      </c>
      <c r="Y719" s="5">
        <v>4000</v>
      </c>
      <c r="Z719" s="5">
        <f t="shared" si="95"/>
        <v>4000</v>
      </c>
      <c r="AA719" s="20">
        <f t="shared" si="93"/>
        <v>0</v>
      </c>
    </row>
    <row r="720" spans="1:27" ht="12.75">
      <c r="A720" s="3" t="s">
        <v>2595</v>
      </c>
      <c r="B720" s="3" t="s">
        <v>3187</v>
      </c>
      <c r="C720" s="3" t="s">
        <v>3188</v>
      </c>
      <c r="D720" s="3" t="s">
        <v>9</v>
      </c>
      <c r="E720" s="3" t="s">
        <v>3197</v>
      </c>
      <c r="F720" s="3" t="s">
        <v>11</v>
      </c>
      <c r="G720" s="3" t="s">
        <v>1591</v>
      </c>
      <c r="H720" s="3" t="s">
        <v>1592</v>
      </c>
      <c r="I720" s="3" t="s">
        <v>609</v>
      </c>
      <c r="J720" s="4">
        <v>0</v>
      </c>
      <c r="K720" s="4">
        <v>0</v>
      </c>
      <c r="L720" s="4">
        <v>0</v>
      </c>
      <c r="M720" s="4">
        <v>0</v>
      </c>
      <c r="N720" s="5">
        <v>0</v>
      </c>
      <c r="O720" s="5">
        <v>0</v>
      </c>
      <c r="P720" s="5">
        <v>15000</v>
      </c>
      <c r="Q720" s="5">
        <v>0</v>
      </c>
      <c r="R720" s="5">
        <v>1078</v>
      </c>
      <c r="S720" s="5">
        <v>0</v>
      </c>
      <c r="T720" s="5">
        <f t="shared" si="94"/>
        <v>16078</v>
      </c>
      <c r="U720" s="5">
        <v>90182</v>
      </c>
      <c r="V720" s="5">
        <v>0</v>
      </c>
      <c r="W720" s="5">
        <v>0</v>
      </c>
      <c r="X720" s="5">
        <v>0</v>
      </c>
      <c r="Y720" s="5">
        <v>106260</v>
      </c>
      <c r="Z720" s="5">
        <f t="shared" si="95"/>
        <v>106260</v>
      </c>
      <c r="AA720" s="20">
        <f t="shared" si="93"/>
        <v>0</v>
      </c>
    </row>
    <row r="721" spans="1:27" ht="12.75">
      <c r="A721" s="3" t="s">
        <v>2595</v>
      </c>
      <c r="B721" s="3" t="s">
        <v>3187</v>
      </c>
      <c r="C721" s="3" t="s">
        <v>3188</v>
      </c>
      <c r="D721" s="3" t="s">
        <v>12</v>
      </c>
      <c r="E721" s="3" t="s">
        <v>3197</v>
      </c>
      <c r="F721" s="3" t="s">
        <v>14</v>
      </c>
      <c r="G721" s="3" t="s">
        <v>1591</v>
      </c>
      <c r="H721" s="3" t="s">
        <v>1592</v>
      </c>
      <c r="I721" s="3" t="s">
        <v>610</v>
      </c>
      <c r="J721" s="4">
        <v>0</v>
      </c>
      <c r="K721" s="4">
        <v>0</v>
      </c>
      <c r="L721" s="4">
        <v>0</v>
      </c>
      <c r="M721" s="4">
        <v>0</v>
      </c>
      <c r="N721" s="5">
        <v>0</v>
      </c>
      <c r="O721" s="5">
        <v>0</v>
      </c>
      <c r="P721" s="5">
        <v>12830</v>
      </c>
      <c r="Q721" s="5">
        <v>0</v>
      </c>
      <c r="R721" s="5">
        <v>152</v>
      </c>
      <c r="S721" s="5">
        <v>0</v>
      </c>
      <c r="T721" s="5">
        <f t="shared" si="94"/>
        <v>12982</v>
      </c>
      <c r="U721" s="5">
        <v>40076</v>
      </c>
      <c r="V721" s="5">
        <v>0</v>
      </c>
      <c r="W721" s="5">
        <v>0</v>
      </c>
      <c r="X721" s="5">
        <v>0</v>
      </c>
      <c r="Y721" s="5">
        <v>53058</v>
      </c>
      <c r="Z721" s="5">
        <f t="shared" si="95"/>
        <v>53058</v>
      </c>
      <c r="AA721" s="20">
        <f t="shared" si="93"/>
        <v>0</v>
      </c>
    </row>
    <row r="722" spans="1:27" ht="12.75">
      <c r="A722" s="3" t="s">
        <v>1936</v>
      </c>
      <c r="B722" s="3" t="s">
        <v>3187</v>
      </c>
      <c r="C722" s="3" t="s">
        <v>3188</v>
      </c>
      <c r="D722" s="3" t="s">
        <v>15</v>
      </c>
      <c r="E722" s="3" t="s">
        <v>3252</v>
      </c>
      <c r="F722" s="3" t="s">
        <v>17</v>
      </c>
      <c r="G722" s="3" t="s">
        <v>1591</v>
      </c>
      <c r="H722" s="3" t="s">
        <v>1592</v>
      </c>
      <c r="I722" s="3" t="s">
        <v>16</v>
      </c>
      <c r="J722" s="4">
        <v>0.017</v>
      </c>
      <c r="K722" s="4">
        <v>0</v>
      </c>
      <c r="L722" s="4">
        <v>0</v>
      </c>
      <c r="M722" s="4">
        <v>5.178</v>
      </c>
      <c r="N722" s="5">
        <v>153948</v>
      </c>
      <c r="O722" s="5">
        <v>0</v>
      </c>
      <c r="P722" s="5">
        <v>0</v>
      </c>
      <c r="Q722" s="5">
        <v>0</v>
      </c>
      <c r="R722" s="5">
        <v>33026</v>
      </c>
      <c r="S722" s="5">
        <v>0</v>
      </c>
      <c r="T722" s="5">
        <f t="shared" si="94"/>
        <v>186974</v>
      </c>
      <c r="U722" s="5">
        <f>SUM(S722:S722)</f>
        <v>0</v>
      </c>
      <c r="V722" s="5">
        <v>0</v>
      </c>
      <c r="W722" s="5">
        <v>0</v>
      </c>
      <c r="X722" s="5">
        <v>0</v>
      </c>
      <c r="Y722" s="5">
        <v>186974</v>
      </c>
      <c r="Z722" s="5">
        <f t="shared" si="95"/>
        <v>186974</v>
      </c>
      <c r="AA722" s="20">
        <f t="shared" si="93"/>
        <v>0</v>
      </c>
    </row>
    <row r="723" spans="1:27" ht="12.75">
      <c r="A723" s="3" t="s">
        <v>1936</v>
      </c>
      <c r="B723" s="3" t="s">
        <v>3187</v>
      </c>
      <c r="C723" s="3" t="s">
        <v>3188</v>
      </c>
      <c r="D723" s="3" t="s">
        <v>18</v>
      </c>
      <c r="E723" s="3" t="s">
        <v>3252</v>
      </c>
      <c r="F723" s="3" t="s">
        <v>20</v>
      </c>
      <c r="G723" s="3" t="s">
        <v>1591</v>
      </c>
      <c r="H723" s="3" t="s">
        <v>1592</v>
      </c>
      <c r="I723" s="3" t="s">
        <v>19</v>
      </c>
      <c r="J723" s="4">
        <v>0.079</v>
      </c>
      <c r="K723" s="4">
        <v>0</v>
      </c>
      <c r="L723" s="4">
        <v>5</v>
      </c>
      <c r="M723" s="4">
        <v>5.245</v>
      </c>
      <c r="N723" s="5">
        <v>262632</v>
      </c>
      <c r="O723" s="5">
        <v>0</v>
      </c>
      <c r="P723" s="5">
        <v>131250</v>
      </c>
      <c r="Q723" s="5">
        <v>0</v>
      </c>
      <c r="R723" s="5">
        <v>70411</v>
      </c>
      <c r="S723" s="5">
        <v>0</v>
      </c>
      <c r="T723" s="5">
        <f t="shared" si="94"/>
        <v>464293</v>
      </c>
      <c r="U723" s="5">
        <f>SUM(S723:S723)</f>
        <v>0</v>
      </c>
      <c r="V723" s="5">
        <v>0</v>
      </c>
      <c r="W723" s="5">
        <v>0</v>
      </c>
      <c r="X723" s="5">
        <v>0</v>
      </c>
      <c r="Y723" s="5">
        <v>464293</v>
      </c>
      <c r="Z723" s="5">
        <f t="shared" si="95"/>
        <v>464293</v>
      </c>
      <c r="AA723" s="20">
        <f t="shared" si="93"/>
        <v>0</v>
      </c>
    </row>
    <row r="724" spans="1:27" ht="12.75">
      <c r="A724" s="3" t="s">
        <v>1842</v>
      </c>
      <c r="B724" s="3" t="s">
        <v>3187</v>
      </c>
      <c r="C724" s="3" t="s">
        <v>3188</v>
      </c>
      <c r="D724" s="3" t="s">
        <v>21</v>
      </c>
      <c r="E724" s="3" t="s">
        <v>3191</v>
      </c>
      <c r="F724" s="3" t="s">
        <v>23</v>
      </c>
      <c r="G724" s="3" t="s">
        <v>1591</v>
      </c>
      <c r="H724" s="3" t="s">
        <v>1592</v>
      </c>
      <c r="I724" s="3" t="s">
        <v>22</v>
      </c>
      <c r="J724" s="4">
        <v>0</v>
      </c>
      <c r="K724" s="4">
        <v>0</v>
      </c>
      <c r="L724" s="4">
        <v>0</v>
      </c>
      <c r="M724" s="4">
        <v>0</v>
      </c>
      <c r="N724" s="5">
        <v>0</v>
      </c>
      <c r="O724" s="5">
        <v>0</v>
      </c>
      <c r="P724" s="5">
        <v>6475</v>
      </c>
      <c r="Q724" s="5">
        <v>0</v>
      </c>
      <c r="R724" s="5">
        <v>1850</v>
      </c>
      <c r="S724" s="5">
        <v>0</v>
      </c>
      <c r="T724" s="5">
        <f t="shared" si="94"/>
        <v>8325</v>
      </c>
      <c r="U724" s="5">
        <v>793</v>
      </c>
      <c r="V724" s="5">
        <v>44000</v>
      </c>
      <c r="W724" s="5">
        <v>0</v>
      </c>
      <c r="X724" s="5">
        <v>100</v>
      </c>
      <c r="Y724" s="5">
        <v>53218</v>
      </c>
      <c r="Z724" s="5">
        <f t="shared" si="95"/>
        <v>53218</v>
      </c>
      <c r="AA724" s="20">
        <f aca="true" t="shared" si="96" ref="AA724:AA787">+Y724-Z724</f>
        <v>0</v>
      </c>
    </row>
    <row r="725" spans="1:27" ht="12.75">
      <c r="A725" s="3" t="s">
        <v>1936</v>
      </c>
      <c r="B725" s="3" t="s">
        <v>3187</v>
      </c>
      <c r="C725" s="3" t="s">
        <v>3188</v>
      </c>
      <c r="D725" s="3" t="s">
        <v>24</v>
      </c>
      <c r="E725" s="3" t="s">
        <v>3191</v>
      </c>
      <c r="F725" s="3" t="s">
        <v>26</v>
      </c>
      <c r="G725" s="3" t="s">
        <v>1591</v>
      </c>
      <c r="H725" s="3" t="s">
        <v>1592</v>
      </c>
      <c r="I725" s="3" t="s">
        <v>25</v>
      </c>
      <c r="J725" s="4">
        <v>0</v>
      </c>
      <c r="K725" s="4">
        <v>0</v>
      </c>
      <c r="L725" s="4">
        <v>0</v>
      </c>
      <c r="M725" s="4">
        <v>0</v>
      </c>
      <c r="N725" s="5">
        <v>0</v>
      </c>
      <c r="O725" s="5">
        <v>0</v>
      </c>
      <c r="P725" s="5">
        <v>0</v>
      </c>
      <c r="Q725" s="5">
        <v>0</v>
      </c>
      <c r="R725" s="5">
        <v>36</v>
      </c>
      <c r="S725" s="5">
        <v>0</v>
      </c>
      <c r="T725" s="5">
        <f t="shared" si="94"/>
        <v>36</v>
      </c>
      <c r="U725" s="5">
        <v>1000</v>
      </c>
      <c r="V725" s="5">
        <v>0</v>
      </c>
      <c r="W725" s="5">
        <v>0</v>
      </c>
      <c r="X725" s="5">
        <v>0</v>
      </c>
      <c r="Y725" s="5">
        <v>1036</v>
      </c>
      <c r="Z725" s="5">
        <f t="shared" si="95"/>
        <v>1036</v>
      </c>
      <c r="AA725" s="20">
        <f t="shared" si="96"/>
        <v>0</v>
      </c>
    </row>
    <row r="726" spans="1:27" ht="12.75">
      <c r="A726" s="3" t="s">
        <v>1936</v>
      </c>
      <c r="B726" s="3" t="s">
        <v>3187</v>
      </c>
      <c r="C726" s="3" t="s">
        <v>3188</v>
      </c>
      <c r="D726" s="3" t="s">
        <v>27</v>
      </c>
      <c r="E726" s="3" t="s">
        <v>3191</v>
      </c>
      <c r="F726" s="3" t="s">
        <v>29</v>
      </c>
      <c r="G726" s="3" t="s">
        <v>1591</v>
      </c>
      <c r="H726" s="3" t="s">
        <v>1592</v>
      </c>
      <c r="I726" s="3" t="s">
        <v>28</v>
      </c>
      <c r="J726" s="4">
        <v>0</v>
      </c>
      <c r="K726" s="4">
        <v>0</v>
      </c>
      <c r="L726" s="4">
        <v>0</v>
      </c>
      <c r="M726" s="4">
        <v>0</v>
      </c>
      <c r="N726" s="5">
        <v>0</v>
      </c>
      <c r="O726" s="5">
        <v>0</v>
      </c>
      <c r="P726" s="5">
        <v>0</v>
      </c>
      <c r="Q726" s="5">
        <v>0</v>
      </c>
      <c r="R726" s="5">
        <v>0</v>
      </c>
      <c r="S726" s="5">
        <v>0</v>
      </c>
      <c r="T726" s="5">
        <f aca="true" t="shared" si="97" ref="T726:T789">SUM(N726:R726)</f>
        <v>0</v>
      </c>
      <c r="U726" s="5">
        <v>8500</v>
      </c>
      <c r="V726" s="5">
        <v>0</v>
      </c>
      <c r="W726" s="5">
        <v>0</v>
      </c>
      <c r="X726" s="5">
        <v>500</v>
      </c>
      <c r="Y726" s="5">
        <v>9000</v>
      </c>
      <c r="Z726" s="5">
        <f aca="true" t="shared" si="98" ref="Z726:Z789">SUM(T726:X726)</f>
        <v>9000</v>
      </c>
      <c r="AA726" s="20">
        <f t="shared" si="96"/>
        <v>0</v>
      </c>
    </row>
    <row r="727" spans="1:27" ht="12.75">
      <c r="A727" s="3" t="s">
        <v>2595</v>
      </c>
      <c r="B727" s="3" t="s">
        <v>3187</v>
      </c>
      <c r="C727" s="3" t="s">
        <v>3188</v>
      </c>
      <c r="D727" s="3" t="s">
        <v>30</v>
      </c>
      <c r="E727" s="3" t="s">
        <v>3191</v>
      </c>
      <c r="F727" s="3" t="s">
        <v>32</v>
      </c>
      <c r="G727" s="3" t="s">
        <v>1591</v>
      </c>
      <c r="H727" s="3" t="s">
        <v>1592</v>
      </c>
      <c r="I727" s="3" t="s">
        <v>611</v>
      </c>
      <c r="J727" s="4">
        <v>0</v>
      </c>
      <c r="K727" s="4">
        <v>0</v>
      </c>
      <c r="L727" s="4">
        <v>0</v>
      </c>
      <c r="M727" s="4">
        <v>0</v>
      </c>
      <c r="N727" s="5">
        <v>0</v>
      </c>
      <c r="O727" s="5">
        <v>0</v>
      </c>
      <c r="P727" s="5">
        <v>0</v>
      </c>
      <c r="Q727" s="5">
        <v>0</v>
      </c>
      <c r="R727" s="5">
        <v>0</v>
      </c>
      <c r="S727" s="5">
        <v>0</v>
      </c>
      <c r="T727" s="5">
        <f t="shared" si="97"/>
        <v>0</v>
      </c>
      <c r="U727" s="5">
        <v>32000</v>
      </c>
      <c r="V727" s="5">
        <v>0</v>
      </c>
      <c r="W727" s="5">
        <v>0</v>
      </c>
      <c r="X727" s="5">
        <v>0</v>
      </c>
      <c r="Y727" s="5">
        <v>32000</v>
      </c>
      <c r="Z727" s="5">
        <f t="shared" si="98"/>
        <v>32000</v>
      </c>
      <c r="AA727" s="20">
        <f t="shared" si="96"/>
        <v>0</v>
      </c>
    </row>
    <row r="728" spans="1:27" ht="12.75">
      <c r="A728" s="3" t="s">
        <v>1936</v>
      </c>
      <c r="B728" s="3" t="s">
        <v>3187</v>
      </c>
      <c r="C728" s="3" t="s">
        <v>3188</v>
      </c>
      <c r="D728" s="3" t="s">
        <v>33</v>
      </c>
      <c r="E728" s="3" t="s">
        <v>3191</v>
      </c>
      <c r="F728" s="3" t="s">
        <v>35</v>
      </c>
      <c r="G728" s="3" t="s">
        <v>1591</v>
      </c>
      <c r="H728" s="3" t="s">
        <v>1592</v>
      </c>
      <c r="I728" s="3" t="s">
        <v>612</v>
      </c>
      <c r="J728" s="4">
        <v>0</v>
      </c>
      <c r="K728" s="4">
        <v>0</v>
      </c>
      <c r="L728" s="4">
        <v>0</v>
      </c>
      <c r="M728" s="4">
        <v>0</v>
      </c>
      <c r="N728" s="5">
        <v>0</v>
      </c>
      <c r="O728" s="5">
        <v>0</v>
      </c>
      <c r="P728" s="5">
        <v>4350</v>
      </c>
      <c r="Q728" s="5">
        <v>0</v>
      </c>
      <c r="R728" s="5">
        <v>754</v>
      </c>
      <c r="S728" s="5">
        <v>0</v>
      </c>
      <c r="T728" s="5">
        <f t="shared" si="97"/>
        <v>5104</v>
      </c>
      <c r="U728" s="5">
        <f>SUM(S728:S728)</f>
        <v>0</v>
      </c>
      <c r="V728" s="5">
        <v>0</v>
      </c>
      <c r="W728" s="5">
        <v>0</v>
      </c>
      <c r="X728" s="5">
        <v>0</v>
      </c>
      <c r="Y728" s="5">
        <v>5104</v>
      </c>
      <c r="Z728" s="5">
        <f t="shared" si="98"/>
        <v>5104</v>
      </c>
      <c r="AA728" s="20">
        <f t="shared" si="96"/>
        <v>0</v>
      </c>
    </row>
    <row r="729" spans="1:27" ht="12.75">
      <c r="A729" s="3" t="s">
        <v>1751</v>
      </c>
      <c r="B729" s="3" t="s">
        <v>3187</v>
      </c>
      <c r="C729" s="3" t="s">
        <v>3188</v>
      </c>
      <c r="D729" s="3" t="s">
        <v>36</v>
      </c>
      <c r="E729" s="3" t="s">
        <v>3191</v>
      </c>
      <c r="F729" s="3" t="s">
        <v>38</v>
      </c>
      <c r="G729" s="3" t="s">
        <v>1591</v>
      </c>
      <c r="H729" s="3" t="s">
        <v>1592</v>
      </c>
      <c r="I729" s="3" t="s">
        <v>37</v>
      </c>
      <c r="J729" s="4">
        <v>0</v>
      </c>
      <c r="K729" s="4">
        <v>0</v>
      </c>
      <c r="L729" s="4">
        <v>0</v>
      </c>
      <c r="M729" s="4">
        <v>0</v>
      </c>
      <c r="N729" s="5">
        <v>0</v>
      </c>
      <c r="O729" s="5">
        <v>0</v>
      </c>
      <c r="P729" s="5">
        <v>0</v>
      </c>
      <c r="Q729" s="5">
        <v>0</v>
      </c>
      <c r="R729" s="5">
        <v>0</v>
      </c>
      <c r="S729" s="5">
        <v>0</v>
      </c>
      <c r="T729" s="5">
        <f t="shared" si="97"/>
        <v>0</v>
      </c>
      <c r="U729" s="5">
        <v>1800</v>
      </c>
      <c r="V729" s="5">
        <v>0</v>
      </c>
      <c r="W729" s="5">
        <v>0</v>
      </c>
      <c r="X729" s="5">
        <v>0</v>
      </c>
      <c r="Y729" s="5">
        <v>1800</v>
      </c>
      <c r="Z729" s="5">
        <f t="shared" si="98"/>
        <v>1800</v>
      </c>
      <c r="AA729" s="20">
        <f t="shared" si="96"/>
        <v>0</v>
      </c>
    </row>
    <row r="730" spans="1:27" ht="12.75">
      <c r="A730" s="3" t="s">
        <v>2595</v>
      </c>
      <c r="B730" s="3" t="s">
        <v>3187</v>
      </c>
      <c r="C730" s="3" t="s">
        <v>3188</v>
      </c>
      <c r="D730" s="3" t="s">
        <v>39</v>
      </c>
      <c r="E730" s="3" t="s">
        <v>3191</v>
      </c>
      <c r="F730" s="3" t="s">
        <v>41</v>
      </c>
      <c r="G730" s="3" t="s">
        <v>1591</v>
      </c>
      <c r="H730" s="3" t="s">
        <v>1592</v>
      </c>
      <c r="I730" s="3" t="s">
        <v>613</v>
      </c>
      <c r="J730" s="4">
        <v>0</v>
      </c>
      <c r="K730" s="4">
        <v>0</v>
      </c>
      <c r="L730" s="4">
        <v>0</v>
      </c>
      <c r="M730" s="4">
        <v>0</v>
      </c>
      <c r="N730" s="5">
        <v>0</v>
      </c>
      <c r="O730" s="5">
        <v>0</v>
      </c>
      <c r="P730" s="5">
        <v>0</v>
      </c>
      <c r="Q730" s="5">
        <v>0</v>
      </c>
      <c r="R730" s="5">
        <v>0</v>
      </c>
      <c r="S730" s="5">
        <v>0</v>
      </c>
      <c r="T730" s="5">
        <f t="shared" si="97"/>
        <v>0</v>
      </c>
      <c r="U730" s="5">
        <v>22000</v>
      </c>
      <c r="V730" s="5">
        <v>0</v>
      </c>
      <c r="W730" s="5">
        <v>0</v>
      </c>
      <c r="X730" s="5">
        <v>0</v>
      </c>
      <c r="Y730" s="5">
        <v>22000</v>
      </c>
      <c r="Z730" s="5">
        <f t="shared" si="98"/>
        <v>22000</v>
      </c>
      <c r="AA730" s="20">
        <f t="shared" si="96"/>
        <v>0</v>
      </c>
    </row>
    <row r="731" spans="1:27" ht="12.75">
      <c r="A731" s="3" t="s">
        <v>2595</v>
      </c>
      <c r="B731" s="3" t="s">
        <v>3187</v>
      </c>
      <c r="C731" s="3" t="s">
        <v>3188</v>
      </c>
      <c r="D731" s="3" t="s">
        <v>42</v>
      </c>
      <c r="E731" s="3" t="s">
        <v>3191</v>
      </c>
      <c r="F731" s="3" t="s">
        <v>44</v>
      </c>
      <c r="G731" s="3" t="s">
        <v>1591</v>
      </c>
      <c r="H731" s="3" t="s">
        <v>1592</v>
      </c>
      <c r="I731" s="3" t="s">
        <v>614</v>
      </c>
      <c r="J731" s="4">
        <v>0</v>
      </c>
      <c r="K731" s="4">
        <v>0</v>
      </c>
      <c r="L731" s="4">
        <v>0</v>
      </c>
      <c r="M731" s="4">
        <v>0</v>
      </c>
      <c r="N731" s="5">
        <v>0</v>
      </c>
      <c r="O731" s="5">
        <v>0</v>
      </c>
      <c r="P731" s="5">
        <v>0</v>
      </c>
      <c r="Q731" s="5">
        <v>0</v>
      </c>
      <c r="R731" s="5">
        <v>0</v>
      </c>
      <c r="S731" s="5">
        <v>0</v>
      </c>
      <c r="T731" s="5">
        <f t="shared" si="97"/>
        <v>0</v>
      </c>
      <c r="U731" s="5">
        <v>9000</v>
      </c>
      <c r="V731" s="5">
        <v>0</v>
      </c>
      <c r="W731" s="5">
        <v>0</v>
      </c>
      <c r="X731" s="5">
        <v>0</v>
      </c>
      <c r="Y731" s="5">
        <v>9000</v>
      </c>
      <c r="Z731" s="5">
        <f t="shared" si="98"/>
        <v>9000</v>
      </c>
      <c r="AA731" s="20">
        <f t="shared" si="96"/>
        <v>0</v>
      </c>
    </row>
    <row r="732" spans="1:27" ht="12.75">
      <c r="A732" s="3" t="s">
        <v>1699</v>
      </c>
      <c r="B732" s="3" t="s">
        <v>3187</v>
      </c>
      <c r="C732" s="3" t="s">
        <v>3188</v>
      </c>
      <c r="D732" s="3" t="s">
        <v>45</v>
      </c>
      <c r="E732" s="3" t="s">
        <v>3191</v>
      </c>
      <c r="F732" s="3" t="s">
        <v>47</v>
      </c>
      <c r="G732" s="3" t="s">
        <v>1591</v>
      </c>
      <c r="H732" s="3" t="s">
        <v>1592</v>
      </c>
      <c r="I732" s="3" t="s">
        <v>615</v>
      </c>
      <c r="J732" s="4">
        <v>0</v>
      </c>
      <c r="K732" s="4">
        <v>0</v>
      </c>
      <c r="L732" s="4">
        <v>0</v>
      </c>
      <c r="M732" s="4">
        <v>0</v>
      </c>
      <c r="N732" s="5">
        <v>0</v>
      </c>
      <c r="O732" s="5">
        <v>0</v>
      </c>
      <c r="P732" s="5">
        <v>5568</v>
      </c>
      <c r="Q732" s="5">
        <v>0</v>
      </c>
      <c r="R732" s="5">
        <v>0</v>
      </c>
      <c r="S732" s="5">
        <v>300</v>
      </c>
      <c r="T732" s="5">
        <f t="shared" si="97"/>
        <v>5568</v>
      </c>
      <c r="U732" s="5">
        <f>300+531</f>
        <v>831</v>
      </c>
      <c r="V732" s="5">
        <v>0</v>
      </c>
      <c r="W732" s="5">
        <v>0</v>
      </c>
      <c r="X732" s="5">
        <v>0</v>
      </c>
      <c r="Y732" s="5">
        <v>6399</v>
      </c>
      <c r="Z732" s="5">
        <f t="shared" si="98"/>
        <v>6399</v>
      </c>
      <c r="AA732" s="20">
        <f t="shared" si="96"/>
        <v>0</v>
      </c>
    </row>
    <row r="733" spans="1:27" ht="12.75">
      <c r="A733" s="3" t="s">
        <v>1871</v>
      </c>
      <c r="B733" s="3" t="s">
        <v>3187</v>
      </c>
      <c r="C733" s="3" t="s">
        <v>3188</v>
      </c>
      <c r="D733" s="3" t="s">
        <v>48</v>
      </c>
      <c r="E733" s="3" t="s">
        <v>3191</v>
      </c>
      <c r="F733" s="3" t="s">
        <v>50</v>
      </c>
      <c r="G733" s="3" t="s">
        <v>1591</v>
      </c>
      <c r="H733" s="3" t="s">
        <v>1592</v>
      </c>
      <c r="I733" s="3" t="s">
        <v>49</v>
      </c>
      <c r="J733" s="4">
        <v>0</v>
      </c>
      <c r="K733" s="4">
        <v>0</v>
      </c>
      <c r="L733" s="4">
        <v>0</v>
      </c>
      <c r="M733" s="4">
        <v>0</v>
      </c>
      <c r="N733" s="5">
        <v>0</v>
      </c>
      <c r="O733" s="5">
        <v>0</v>
      </c>
      <c r="P733" s="5">
        <v>0</v>
      </c>
      <c r="Q733" s="5">
        <v>1000</v>
      </c>
      <c r="R733" s="5">
        <v>0</v>
      </c>
      <c r="S733" s="5">
        <v>0</v>
      </c>
      <c r="T733" s="5">
        <f t="shared" si="97"/>
        <v>1000</v>
      </c>
      <c r="U733" s="5">
        <v>8600</v>
      </c>
      <c r="V733" s="5">
        <v>0</v>
      </c>
      <c r="W733" s="5">
        <v>0</v>
      </c>
      <c r="X733" s="5">
        <v>1000</v>
      </c>
      <c r="Y733" s="5">
        <v>10600</v>
      </c>
      <c r="Z733" s="5">
        <f t="shared" si="98"/>
        <v>10600</v>
      </c>
      <c r="AA733" s="20">
        <f t="shared" si="96"/>
        <v>0</v>
      </c>
    </row>
    <row r="734" spans="1:27" ht="12.75">
      <c r="A734" s="3" t="s">
        <v>1751</v>
      </c>
      <c r="B734" s="3" t="s">
        <v>3187</v>
      </c>
      <c r="C734" s="3" t="s">
        <v>3188</v>
      </c>
      <c r="D734" s="3" t="s">
        <v>51</v>
      </c>
      <c r="E734" s="3" t="s">
        <v>3191</v>
      </c>
      <c r="F734" s="3" t="s">
        <v>53</v>
      </c>
      <c r="G734" s="3" t="s">
        <v>1591</v>
      </c>
      <c r="H734" s="3" t="s">
        <v>1592</v>
      </c>
      <c r="I734" s="3" t="s">
        <v>52</v>
      </c>
      <c r="J734" s="4">
        <v>0</v>
      </c>
      <c r="K734" s="4">
        <v>0</v>
      </c>
      <c r="L734" s="4">
        <v>0</v>
      </c>
      <c r="M734" s="4">
        <v>0</v>
      </c>
      <c r="N734" s="5">
        <v>0</v>
      </c>
      <c r="O734" s="5">
        <v>0</v>
      </c>
      <c r="P734" s="5">
        <v>0</v>
      </c>
      <c r="Q734" s="5">
        <v>0</v>
      </c>
      <c r="R734" s="5">
        <v>0</v>
      </c>
      <c r="S734" s="5">
        <v>0</v>
      </c>
      <c r="T734" s="5">
        <f t="shared" si="97"/>
        <v>0</v>
      </c>
      <c r="U734" s="5">
        <v>3100</v>
      </c>
      <c r="V734" s="5">
        <v>0</v>
      </c>
      <c r="W734" s="5">
        <v>0</v>
      </c>
      <c r="X734" s="5">
        <v>2500</v>
      </c>
      <c r="Y734" s="5">
        <v>5600</v>
      </c>
      <c r="Z734" s="5">
        <f t="shared" si="98"/>
        <v>5600</v>
      </c>
      <c r="AA734" s="20">
        <f t="shared" si="96"/>
        <v>0</v>
      </c>
    </row>
    <row r="735" spans="1:27" ht="12.75">
      <c r="A735" s="3" t="s">
        <v>1871</v>
      </c>
      <c r="B735" s="3" t="s">
        <v>3187</v>
      </c>
      <c r="C735" s="3" t="s">
        <v>3188</v>
      </c>
      <c r="D735" s="3" t="s">
        <v>54</v>
      </c>
      <c r="E735" s="3" t="s">
        <v>3191</v>
      </c>
      <c r="F735" s="3" t="s">
        <v>56</v>
      </c>
      <c r="G735" s="3" t="s">
        <v>1591</v>
      </c>
      <c r="H735" s="3" t="s">
        <v>1592</v>
      </c>
      <c r="I735" s="3" t="s">
        <v>616</v>
      </c>
      <c r="J735" s="4">
        <v>0</v>
      </c>
      <c r="K735" s="4">
        <v>0</v>
      </c>
      <c r="L735" s="4">
        <v>0</v>
      </c>
      <c r="M735" s="4">
        <v>0</v>
      </c>
      <c r="N735" s="5">
        <v>0</v>
      </c>
      <c r="O735" s="5">
        <v>0</v>
      </c>
      <c r="P735" s="5">
        <v>16000</v>
      </c>
      <c r="Q735" s="5">
        <v>0</v>
      </c>
      <c r="R735" s="5">
        <v>26330</v>
      </c>
      <c r="S735" s="5">
        <v>12500</v>
      </c>
      <c r="T735" s="5">
        <f t="shared" si="97"/>
        <v>42330</v>
      </c>
      <c r="U735" s="5">
        <f>12500+70000</f>
        <v>82500</v>
      </c>
      <c r="V735" s="5">
        <v>1000</v>
      </c>
      <c r="W735" s="5">
        <v>0</v>
      </c>
      <c r="X735" s="5">
        <v>10000</v>
      </c>
      <c r="Y735" s="5">
        <v>135830</v>
      </c>
      <c r="Z735" s="5">
        <f t="shared" si="98"/>
        <v>135830</v>
      </c>
      <c r="AA735" s="20">
        <f t="shared" si="96"/>
        <v>0</v>
      </c>
    </row>
    <row r="736" spans="1:27" ht="12.75">
      <c r="A736" s="3" t="s">
        <v>1964</v>
      </c>
      <c r="B736" s="3" t="s">
        <v>3187</v>
      </c>
      <c r="C736" s="3" t="s">
        <v>3188</v>
      </c>
      <c r="D736" s="3" t="s">
        <v>57</v>
      </c>
      <c r="E736" s="3" t="s">
        <v>3191</v>
      </c>
      <c r="F736" s="3" t="s">
        <v>59</v>
      </c>
      <c r="G736" s="3" t="s">
        <v>1591</v>
      </c>
      <c r="H736" s="3" t="s">
        <v>1592</v>
      </c>
      <c r="I736" s="3" t="s">
        <v>58</v>
      </c>
      <c r="J736" s="4">
        <v>0</v>
      </c>
      <c r="K736" s="4">
        <v>0</v>
      </c>
      <c r="L736" s="4">
        <v>0</v>
      </c>
      <c r="M736" s="4">
        <v>0</v>
      </c>
      <c r="N736" s="5">
        <v>0</v>
      </c>
      <c r="O736" s="5">
        <v>0</v>
      </c>
      <c r="P736" s="5">
        <v>0</v>
      </c>
      <c r="Q736" s="5">
        <v>0</v>
      </c>
      <c r="R736" s="5">
        <v>0</v>
      </c>
      <c r="S736" s="5">
        <v>0</v>
      </c>
      <c r="T736" s="5">
        <f t="shared" si="97"/>
        <v>0</v>
      </c>
      <c r="U736" s="5">
        <v>405</v>
      </c>
      <c r="V736" s="5">
        <v>0</v>
      </c>
      <c r="W736" s="5">
        <v>0</v>
      </c>
      <c r="X736" s="5">
        <v>1000</v>
      </c>
      <c r="Y736" s="5">
        <v>1405</v>
      </c>
      <c r="Z736" s="5">
        <f t="shared" si="98"/>
        <v>1405</v>
      </c>
      <c r="AA736" s="20">
        <f t="shared" si="96"/>
        <v>0</v>
      </c>
    </row>
    <row r="737" spans="1:27" ht="12.75">
      <c r="A737" s="3" t="s">
        <v>2908</v>
      </c>
      <c r="B737" s="3" t="s">
        <v>3187</v>
      </c>
      <c r="C737" s="3" t="s">
        <v>3188</v>
      </c>
      <c r="D737" s="3" t="s">
        <v>60</v>
      </c>
      <c r="E737" s="3" t="s">
        <v>3191</v>
      </c>
      <c r="F737" s="3" t="s">
        <v>62</v>
      </c>
      <c r="G737" s="3" t="s">
        <v>1591</v>
      </c>
      <c r="H737" s="3" t="s">
        <v>1592</v>
      </c>
      <c r="I737" s="3" t="s">
        <v>61</v>
      </c>
      <c r="J737" s="4">
        <v>0</v>
      </c>
      <c r="K737" s="4">
        <v>0</v>
      </c>
      <c r="L737" s="4">
        <v>0</v>
      </c>
      <c r="M737" s="4">
        <v>0</v>
      </c>
      <c r="N737" s="5">
        <v>0</v>
      </c>
      <c r="O737" s="5">
        <v>0</v>
      </c>
      <c r="P737" s="5">
        <v>17000</v>
      </c>
      <c r="Q737" s="5">
        <v>0</v>
      </c>
      <c r="R737" s="5">
        <v>25</v>
      </c>
      <c r="S737" s="5">
        <v>0</v>
      </c>
      <c r="T737" s="5">
        <f t="shared" si="97"/>
        <v>17025</v>
      </c>
      <c r="U737" s="5">
        <f>SUM(S737:S737)</f>
        <v>0</v>
      </c>
      <c r="V737" s="5">
        <v>0</v>
      </c>
      <c r="W737" s="5">
        <v>0</v>
      </c>
      <c r="X737" s="5">
        <v>0</v>
      </c>
      <c r="Y737" s="5">
        <v>17025</v>
      </c>
      <c r="Z737" s="5">
        <f t="shared" si="98"/>
        <v>17025</v>
      </c>
      <c r="AA737" s="20">
        <f t="shared" si="96"/>
        <v>0</v>
      </c>
    </row>
    <row r="738" spans="1:27" ht="12.75">
      <c r="A738" s="3" t="s">
        <v>2908</v>
      </c>
      <c r="B738" s="3" t="s">
        <v>3187</v>
      </c>
      <c r="C738" s="3" t="s">
        <v>3188</v>
      </c>
      <c r="D738" s="3" t="s">
        <v>63</v>
      </c>
      <c r="E738" s="3" t="s">
        <v>3191</v>
      </c>
      <c r="F738" s="3" t="s">
        <v>65</v>
      </c>
      <c r="G738" s="3" t="s">
        <v>1591</v>
      </c>
      <c r="H738" s="3" t="s">
        <v>1592</v>
      </c>
      <c r="I738" s="3" t="s">
        <v>64</v>
      </c>
      <c r="J738" s="4">
        <v>0</v>
      </c>
      <c r="K738" s="4">
        <v>0</v>
      </c>
      <c r="L738" s="4">
        <v>2.932</v>
      </c>
      <c r="M738" s="4">
        <v>0</v>
      </c>
      <c r="N738" s="5">
        <v>65514</v>
      </c>
      <c r="O738" s="5">
        <v>0</v>
      </c>
      <c r="P738" s="5">
        <v>0</v>
      </c>
      <c r="Q738" s="5">
        <v>0</v>
      </c>
      <c r="R738" s="5">
        <v>7781</v>
      </c>
      <c r="S738" s="5">
        <v>0</v>
      </c>
      <c r="T738" s="5">
        <f t="shared" si="97"/>
        <v>73295</v>
      </c>
      <c r="U738" s="5">
        <f>SUM(S738:S738)</f>
        <v>0</v>
      </c>
      <c r="V738" s="5">
        <v>0</v>
      </c>
      <c r="W738" s="5">
        <v>0</v>
      </c>
      <c r="X738" s="5">
        <v>0</v>
      </c>
      <c r="Y738" s="5">
        <v>73295</v>
      </c>
      <c r="Z738" s="5">
        <f t="shared" si="98"/>
        <v>73295</v>
      </c>
      <c r="AA738" s="20">
        <f t="shared" si="96"/>
        <v>0</v>
      </c>
    </row>
    <row r="739" spans="1:27" ht="12.75">
      <c r="A739" s="3" t="s">
        <v>1936</v>
      </c>
      <c r="B739" s="3" t="s">
        <v>3187</v>
      </c>
      <c r="C739" s="3" t="s">
        <v>3188</v>
      </c>
      <c r="D739" s="3" t="s">
        <v>66</v>
      </c>
      <c r="E739" s="3" t="s">
        <v>3191</v>
      </c>
      <c r="F739" s="3" t="s">
        <v>68</v>
      </c>
      <c r="G739" s="3" t="s">
        <v>1591</v>
      </c>
      <c r="H739" s="3" t="s">
        <v>1592</v>
      </c>
      <c r="I739" s="3" t="s">
        <v>67</v>
      </c>
      <c r="J739" s="4">
        <v>0</v>
      </c>
      <c r="K739" s="4">
        <v>0</v>
      </c>
      <c r="L739" s="4">
        <v>0</v>
      </c>
      <c r="M739" s="4">
        <v>0</v>
      </c>
      <c r="N739" s="5">
        <v>0</v>
      </c>
      <c r="O739" s="5">
        <v>0</v>
      </c>
      <c r="P739" s="5">
        <v>0</v>
      </c>
      <c r="Q739" s="5">
        <v>0</v>
      </c>
      <c r="R739" s="5">
        <v>0</v>
      </c>
      <c r="S739" s="5">
        <v>0</v>
      </c>
      <c r="T739" s="5">
        <f t="shared" si="97"/>
        <v>0</v>
      </c>
      <c r="U739" s="5">
        <v>600</v>
      </c>
      <c r="V739" s="5">
        <v>0</v>
      </c>
      <c r="W739" s="5">
        <v>0</v>
      </c>
      <c r="X739" s="5">
        <v>0</v>
      </c>
      <c r="Y739" s="5">
        <v>600</v>
      </c>
      <c r="Z739" s="5">
        <f t="shared" si="98"/>
        <v>600</v>
      </c>
      <c r="AA739" s="20">
        <f t="shared" si="96"/>
        <v>0</v>
      </c>
    </row>
    <row r="740" spans="1:27" ht="12.75">
      <c r="A740" s="3" t="s">
        <v>2963</v>
      </c>
      <c r="B740" s="3" t="s">
        <v>3187</v>
      </c>
      <c r="C740" s="3" t="s">
        <v>3188</v>
      </c>
      <c r="D740" s="3" t="s">
        <v>69</v>
      </c>
      <c r="E740" s="3" t="s">
        <v>3191</v>
      </c>
      <c r="F740" s="3" t="s">
        <v>71</v>
      </c>
      <c r="G740" s="3" t="s">
        <v>1591</v>
      </c>
      <c r="H740" s="3" t="s">
        <v>1592</v>
      </c>
      <c r="I740" s="3" t="s">
        <v>70</v>
      </c>
      <c r="J740" s="4">
        <v>0</v>
      </c>
      <c r="K740" s="4">
        <v>0</v>
      </c>
      <c r="L740" s="4">
        <v>1</v>
      </c>
      <c r="M740" s="4">
        <v>0</v>
      </c>
      <c r="N740" s="5">
        <v>15720</v>
      </c>
      <c r="O740" s="5">
        <v>0</v>
      </c>
      <c r="P740" s="5">
        <v>0</v>
      </c>
      <c r="Q740" s="5">
        <v>0</v>
      </c>
      <c r="R740" s="5">
        <v>2455</v>
      </c>
      <c r="S740" s="5">
        <v>0</v>
      </c>
      <c r="T740" s="5">
        <f t="shared" si="97"/>
        <v>18175</v>
      </c>
      <c r="U740" s="5">
        <f>SUM(S740:S740)</f>
        <v>0</v>
      </c>
      <c r="V740" s="5">
        <v>0</v>
      </c>
      <c r="W740" s="5">
        <v>0</v>
      </c>
      <c r="X740" s="5">
        <v>0</v>
      </c>
      <c r="Y740" s="5">
        <v>18175</v>
      </c>
      <c r="Z740" s="5">
        <f t="shared" si="98"/>
        <v>18175</v>
      </c>
      <c r="AA740" s="20">
        <f t="shared" si="96"/>
        <v>0</v>
      </c>
    </row>
    <row r="741" spans="1:27" ht="12.75">
      <c r="A741" s="3" t="s">
        <v>1936</v>
      </c>
      <c r="B741" s="3" t="s">
        <v>3187</v>
      </c>
      <c r="C741" s="3" t="s">
        <v>3188</v>
      </c>
      <c r="D741" s="3" t="s">
        <v>72</v>
      </c>
      <c r="E741" s="3" t="s">
        <v>3191</v>
      </c>
      <c r="F741" s="3" t="s">
        <v>74</v>
      </c>
      <c r="G741" s="3" t="s">
        <v>1591</v>
      </c>
      <c r="H741" s="3" t="s">
        <v>1592</v>
      </c>
      <c r="I741" s="3" t="s">
        <v>617</v>
      </c>
      <c r="J741" s="4">
        <v>0</v>
      </c>
      <c r="K741" s="4">
        <v>0</v>
      </c>
      <c r="L741" s="4">
        <v>0</v>
      </c>
      <c r="M741" s="4">
        <v>0</v>
      </c>
      <c r="N741" s="5">
        <v>0</v>
      </c>
      <c r="O741" s="5">
        <v>0</v>
      </c>
      <c r="P741" s="5">
        <v>0</v>
      </c>
      <c r="Q741" s="5">
        <v>0</v>
      </c>
      <c r="R741" s="5">
        <v>0</v>
      </c>
      <c r="S741" s="5">
        <v>0</v>
      </c>
      <c r="T741" s="5">
        <f t="shared" si="97"/>
        <v>0</v>
      </c>
      <c r="U741" s="5">
        <v>5000</v>
      </c>
      <c r="V741" s="5">
        <v>0</v>
      </c>
      <c r="W741" s="5">
        <v>0</v>
      </c>
      <c r="X741" s="5">
        <v>0</v>
      </c>
      <c r="Y741" s="5">
        <v>5000</v>
      </c>
      <c r="Z741" s="5">
        <f t="shared" si="98"/>
        <v>5000</v>
      </c>
      <c r="AA741" s="20">
        <f t="shared" si="96"/>
        <v>0</v>
      </c>
    </row>
    <row r="742" spans="1:27" ht="12.75">
      <c r="A742" s="3" t="s">
        <v>1936</v>
      </c>
      <c r="B742" s="3" t="s">
        <v>3187</v>
      </c>
      <c r="C742" s="3" t="s">
        <v>3188</v>
      </c>
      <c r="D742" s="3" t="s">
        <v>75</v>
      </c>
      <c r="E742" s="3" t="s">
        <v>3191</v>
      </c>
      <c r="F742" s="3" t="s">
        <v>77</v>
      </c>
      <c r="G742" s="3" t="s">
        <v>1591</v>
      </c>
      <c r="H742" s="3" t="s">
        <v>1592</v>
      </c>
      <c r="I742" s="3" t="s">
        <v>76</v>
      </c>
      <c r="J742" s="4">
        <v>0</v>
      </c>
      <c r="K742" s="4">
        <v>0</v>
      </c>
      <c r="L742" s="4">
        <v>0</v>
      </c>
      <c r="M742" s="4">
        <v>0</v>
      </c>
      <c r="N742" s="5">
        <v>0</v>
      </c>
      <c r="O742" s="5">
        <v>0</v>
      </c>
      <c r="P742" s="5">
        <v>0</v>
      </c>
      <c r="Q742" s="5">
        <v>0</v>
      </c>
      <c r="R742" s="5">
        <v>450</v>
      </c>
      <c r="S742" s="5">
        <v>0</v>
      </c>
      <c r="T742" s="5">
        <f t="shared" si="97"/>
        <v>450</v>
      </c>
      <c r="U742" s="5">
        <v>2000</v>
      </c>
      <c r="V742" s="5">
        <v>0</v>
      </c>
      <c r="W742" s="5">
        <v>0</v>
      </c>
      <c r="X742" s="5">
        <v>0</v>
      </c>
      <c r="Y742" s="5">
        <v>2450</v>
      </c>
      <c r="Z742" s="5">
        <f t="shared" si="98"/>
        <v>2450</v>
      </c>
      <c r="AA742" s="20">
        <f t="shared" si="96"/>
        <v>0</v>
      </c>
    </row>
    <row r="743" spans="1:27" ht="12.75">
      <c r="A743" s="3" t="s">
        <v>1936</v>
      </c>
      <c r="B743" s="3" t="s">
        <v>3187</v>
      </c>
      <c r="C743" s="3" t="s">
        <v>3188</v>
      </c>
      <c r="D743" s="3" t="s">
        <v>78</v>
      </c>
      <c r="E743" s="3" t="s">
        <v>3191</v>
      </c>
      <c r="F743" s="3" t="s">
        <v>80</v>
      </c>
      <c r="G743" s="3" t="s">
        <v>1591</v>
      </c>
      <c r="H743" s="3" t="s">
        <v>1592</v>
      </c>
      <c r="I743" s="3" t="s">
        <v>79</v>
      </c>
      <c r="J743" s="4">
        <v>0</v>
      </c>
      <c r="K743" s="4">
        <v>0</v>
      </c>
      <c r="L743" s="4">
        <v>0</v>
      </c>
      <c r="M743" s="4">
        <v>0</v>
      </c>
      <c r="N743" s="5">
        <v>0</v>
      </c>
      <c r="O743" s="5">
        <v>0</v>
      </c>
      <c r="P743" s="5">
        <v>0</v>
      </c>
      <c r="Q743" s="5">
        <v>0</v>
      </c>
      <c r="R743" s="5">
        <v>0</v>
      </c>
      <c r="S743" s="5">
        <v>0</v>
      </c>
      <c r="T743" s="5">
        <f t="shared" si="97"/>
        <v>0</v>
      </c>
      <c r="U743" s="5">
        <v>2500</v>
      </c>
      <c r="V743" s="5">
        <v>0</v>
      </c>
      <c r="W743" s="5">
        <v>0</v>
      </c>
      <c r="X743" s="5">
        <v>0</v>
      </c>
      <c r="Y743" s="5">
        <v>2500</v>
      </c>
      <c r="Z743" s="5">
        <f t="shared" si="98"/>
        <v>2500</v>
      </c>
      <c r="AA743" s="20">
        <f t="shared" si="96"/>
        <v>0</v>
      </c>
    </row>
    <row r="744" spans="1:27" ht="12.75">
      <c r="A744" s="3" t="s">
        <v>1936</v>
      </c>
      <c r="B744" s="3" t="s">
        <v>3187</v>
      </c>
      <c r="C744" s="3" t="s">
        <v>3188</v>
      </c>
      <c r="D744" s="3" t="s">
        <v>81</v>
      </c>
      <c r="E744" s="3" t="s">
        <v>3191</v>
      </c>
      <c r="F744" s="3" t="s">
        <v>83</v>
      </c>
      <c r="G744" s="3" t="s">
        <v>1591</v>
      </c>
      <c r="H744" s="3" t="s">
        <v>1592</v>
      </c>
      <c r="I744" s="3" t="s">
        <v>618</v>
      </c>
      <c r="J744" s="4">
        <v>0</v>
      </c>
      <c r="K744" s="4">
        <v>0</v>
      </c>
      <c r="L744" s="4">
        <v>0</v>
      </c>
      <c r="M744" s="4">
        <v>0</v>
      </c>
      <c r="N744" s="5">
        <v>0</v>
      </c>
      <c r="O744" s="5">
        <v>0</v>
      </c>
      <c r="P744" s="5">
        <v>0</v>
      </c>
      <c r="Q744" s="5">
        <v>0</v>
      </c>
      <c r="R744" s="5">
        <v>0</v>
      </c>
      <c r="S744" s="5">
        <v>0</v>
      </c>
      <c r="T744" s="5">
        <f t="shared" si="97"/>
        <v>0</v>
      </c>
      <c r="U744" s="5">
        <v>600</v>
      </c>
      <c r="V744" s="5">
        <v>0</v>
      </c>
      <c r="W744" s="5">
        <v>0</v>
      </c>
      <c r="X744" s="5">
        <v>0</v>
      </c>
      <c r="Y744" s="5">
        <v>600</v>
      </c>
      <c r="Z744" s="5">
        <f t="shared" si="98"/>
        <v>600</v>
      </c>
      <c r="AA744" s="20">
        <f t="shared" si="96"/>
        <v>0</v>
      </c>
    </row>
    <row r="745" spans="1:27" ht="12.75">
      <c r="A745" s="3" t="s">
        <v>1936</v>
      </c>
      <c r="B745" s="3" t="s">
        <v>3187</v>
      </c>
      <c r="C745" s="3" t="s">
        <v>3188</v>
      </c>
      <c r="D745" s="3" t="s">
        <v>84</v>
      </c>
      <c r="E745" s="3" t="s">
        <v>3191</v>
      </c>
      <c r="F745" s="3" t="s">
        <v>86</v>
      </c>
      <c r="G745" s="3" t="s">
        <v>1591</v>
      </c>
      <c r="H745" s="3" t="s">
        <v>1592</v>
      </c>
      <c r="I745" s="3" t="s">
        <v>619</v>
      </c>
      <c r="J745" s="4">
        <v>0</v>
      </c>
      <c r="K745" s="4">
        <v>0</v>
      </c>
      <c r="L745" s="4">
        <v>0</v>
      </c>
      <c r="M745" s="4">
        <v>0</v>
      </c>
      <c r="N745" s="5">
        <v>0</v>
      </c>
      <c r="O745" s="5">
        <v>0</v>
      </c>
      <c r="P745" s="5">
        <v>0</v>
      </c>
      <c r="Q745" s="5">
        <v>0</v>
      </c>
      <c r="R745" s="5">
        <v>0</v>
      </c>
      <c r="S745" s="5">
        <v>0</v>
      </c>
      <c r="T745" s="5">
        <f t="shared" si="97"/>
        <v>0</v>
      </c>
      <c r="U745" s="5">
        <v>1500</v>
      </c>
      <c r="V745" s="5">
        <v>0</v>
      </c>
      <c r="W745" s="5">
        <v>0</v>
      </c>
      <c r="X745" s="5">
        <v>0</v>
      </c>
      <c r="Y745" s="5">
        <v>1500</v>
      </c>
      <c r="Z745" s="5">
        <f t="shared" si="98"/>
        <v>1500</v>
      </c>
      <c r="AA745" s="20">
        <f t="shared" si="96"/>
        <v>0</v>
      </c>
    </row>
    <row r="746" spans="1:27" ht="12.75">
      <c r="A746" s="3" t="s">
        <v>1936</v>
      </c>
      <c r="B746" s="3" t="s">
        <v>3187</v>
      </c>
      <c r="C746" s="3" t="s">
        <v>3188</v>
      </c>
      <c r="D746" s="3" t="s">
        <v>87</v>
      </c>
      <c r="E746" s="3" t="s">
        <v>3191</v>
      </c>
      <c r="F746" s="3" t="s">
        <v>89</v>
      </c>
      <c r="G746" s="3" t="s">
        <v>1591</v>
      </c>
      <c r="H746" s="3" t="s">
        <v>1592</v>
      </c>
      <c r="I746" s="3" t="s">
        <v>88</v>
      </c>
      <c r="J746" s="4">
        <v>0</v>
      </c>
      <c r="K746" s="4">
        <v>0</v>
      </c>
      <c r="L746" s="4">
        <v>0</v>
      </c>
      <c r="M746" s="4">
        <v>0</v>
      </c>
      <c r="N746" s="5">
        <v>0</v>
      </c>
      <c r="O746" s="5">
        <v>0</v>
      </c>
      <c r="P746" s="5">
        <v>0</v>
      </c>
      <c r="Q746" s="5">
        <v>0</v>
      </c>
      <c r="R746" s="5">
        <v>0</v>
      </c>
      <c r="S746" s="5">
        <v>0</v>
      </c>
      <c r="T746" s="5">
        <f t="shared" si="97"/>
        <v>0</v>
      </c>
      <c r="U746" s="5">
        <v>3700</v>
      </c>
      <c r="V746" s="5">
        <v>0</v>
      </c>
      <c r="W746" s="5">
        <v>0</v>
      </c>
      <c r="X746" s="5">
        <v>0</v>
      </c>
      <c r="Y746" s="5">
        <v>3700</v>
      </c>
      <c r="Z746" s="5">
        <f t="shared" si="98"/>
        <v>3700</v>
      </c>
      <c r="AA746" s="20">
        <f t="shared" si="96"/>
        <v>0</v>
      </c>
    </row>
    <row r="747" spans="1:27" ht="12.75">
      <c r="A747" s="3" t="s">
        <v>1936</v>
      </c>
      <c r="B747" s="3" t="s">
        <v>3187</v>
      </c>
      <c r="C747" s="3" t="s">
        <v>3188</v>
      </c>
      <c r="D747" s="3" t="s">
        <v>90</v>
      </c>
      <c r="E747" s="3" t="s">
        <v>3191</v>
      </c>
      <c r="F747" s="3" t="s">
        <v>92</v>
      </c>
      <c r="G747" s="3" t="s">
        <v>1591</v>
      </c>
      <c r="H747" s="3" t="s">
        <v>1592</v>
      </c>
      <c r="I747" s="3" t="s">
        <v>620</v>
      </c>
      <c r="J747" s="4">
        <v>0</v>
      </c>
      <c r="K747" s="4">
        <v>0</v>
      </c>
      <c r="L747" s="4">
        <v>0</v>
      </c>
      <c r="M747" s="4">
        <v>0</v>
      </c>
      <c r="N747" s="5">
        <v>0</v>
      </c>
      <c r="O747" s="5">
        <v>0</v>
      </c>
      <c r="P747" s="5">
        <v>0</v>
      </c>
      <c r="Q747" s="5">
        <v>0</v>
      </c>
      <c r="R747" s="5">
        <v>0</v>
      </c>
      <c r="S747" s="5">
        <v>0</v>
      </c>
      <c r="T747" s="5">
        <f t="shared" si="97"/>
        <v>0</v>
      </c>
      <c r="U747" s="5">
        <v>2200</v>
      </c>
      <c r="V747" s="5">
        <v>0</v>
      </c>
      <c r="W747" s="5">
        <v>0</v>
      </c>
      <c r="X747" s="5">
        <v>0</v>
      </c>
      <c r="Y747" s="5">
        <v>2200</v>
      </c>
      <c r="Z747" s="5">
        <f t="shared" si="98"/>
        <v>2200</v>
      </c>
      <c r="AA747" s="20">
        <f t="shared" si="96"/>
        <v>0</v>
      </c>
    </row>
    <row r="748" spans="1:27" ht="12.75">
      <c r="A748" s="3" t="s">
        <v>1936</v>
      </c>
      <c r="B748" s="3" t="s">
        <v>3187</v>
      </c>
      <c r="C748" s="3" t="s">
        <v>3188</v>
      </c>
      <c r="D748" s="3" t="s">
        <v>93</v>
      </c>
      <c r="E748" s="3" t="s">
        <v>3191</v>
      </c>
      <c r="F748" s="3" t="s">
        <v>95</v>
      </c>
      <c r="G748" s="3" t="s">
        <v>1591</v>
      </c>
      <c r="H748" s="3" t="s">
        <v>1592</v>
      </c>
      <c r="I748" s="3" t="s">
        <v>94</v>
      </c>
      <c r="J748" s="4">
        <v>0</v>
      </c>
      <c r="K748" s="4">
        <v>0</v>
      </c>
      <c r="L748" s="4">
        <v>0</v>
      </c>
      <c r="M748" s="4">
        <v>0</v>
      </c>
      <c r="N748" s="5">
        <v>0</v>
      </c>
      <c r="O748" s="5">
        <v>0</v>
      </c>
      <c r="P748" s="5">
        <v>0</v>
      </c>
      <c r="Q748" s="5">
        <v>0</v>
      </c>
      <c r="R748" s="5">
        <v>0</v>
      </c>
      <c r="S748" s="5">
        <v>0</v>
      </c>
      <c r="T748" s="5">
        <f t="shared" si="97"/>
        <v>0</v>
      </c>
      <c r="U748" s="5">
        <v>1100</v>
      </c>
      <c r="V748" s="5">
        <v>0</v>
      </c>
      <c r="W748" s="5">
        <v>0</v>
      </c>
      <c r="X748" s="5">
        <v>10</v>
      </c>
      <c r="Y748" s="5">
        <v>1110</v>
      </c>
      <c r="Z748" s="5">
        <f t="shared" si="98"/>
        <v>1110</v>
      </c>
      <c r="AA748" s="20">
        <f t="shared" si="96"/>
        <v>0</v>
      </c>
    </row>
    <row r="749" spans="1:27" ht="12.75">
      <c r="A749" s="3" t="s">
        <v>1936</v>
      </c>
      <c r="B749" s="3" t="s">
        <v>3187</v>
      </c>
      <c r="C749" s="3" t="s">
        <v>3188</v>
      </c>
      <c r="D749" s="3" t="s">
        <v>96</v>
      </c>
      <c r="E749" s="3" t="s">
        <v>3191</v>
      </c>
      <c r="F749" s="3" t="s">
        <v>98</v>
      </c>
      <c r="G749" s="3" t="s">
        <v>1591</v>
      </c>
      <c r="H749" s="3" t="s">
        <v>1592</v>
      </c>
      <c r="I749" s="3" t="s">
        <v>97</v>
      </c>
      <c r="J749" s="4">
        <v>0</v>
      </c>
      <c r="K749" s="4">
        <v>0</v>
      </c>
      <c r="L749" s="4">
        <v>0</v>
      </c>
      <c r="M749" s="4">
        <v>0</v>
      </c>
      <c r="N749" s="5">
        <v>0</v>
      </c>
      <c r="O749" s="5">
        <v>0</v>
      </c>
      <c r="P749" s="5">
        <v>0</v>
      </c>
      <c r="Q749" s="5">
        <v>0</v>
      </c>
      <c r="R749" s="5">
        <v>0</v>
      </c>
      <c r="S749" s="5">
        <v>0</v>
      </c>
      <c r="T749" s="5">
        <f t="shared" si="97"/>
        <v>0</v>
      </c>
      <c r="U749" s="5">
        <v>600</v>
      </c>
      <c r="V749" s="5">
        <v>0</v>
      </c>
      <c r="W749" s="5">
        <v>0</v>
      </c>
      <c r="X749" s="5">
        <v>0</v>
      </c>
      <c r="Y749" s="5">
        <v>600</v>
      </c>
      <c r="Z749" s="5">
        <f t="shared" si="98"/>
        <v>600</v>
      </c>
      <c r="AA749" s="20">
        <f t="shared" si="96"/>
        <v>0</v>
      </c>
    </row>
    <row r="750" spans="1:27" ht="12.75">
      <c r="A750" s="3" t="s">
        <v>1680</v>
      </c>
      <c r="B750" s="3" t="s">
        <v>3187</v>
      </c>
      <c r="C750" s="3" t="s">
        <v>3188</v>
      </c>
      <c r="D750" s="3" t="s">
        <v>99</v>
      </c>
      <c r="E750" s="3" t="s">
        <v>3191</v>
      </c>
      <c r="F750" s="3" t="s">
        <v>101</v>
      </c>
      <c r="G750" s="3" t="s">
        <v>1591</v>
      </c>
      <c r="H750" s="3" t="s">
        <v>1592</v>
      </c>
      <c r="I750" s="3" t="s">
        <v>621</v>
      </c>
      <c r="J750" s="4">
        <v>0</v>
      </c>
      <c r="K750" s="4">
        <v>0</v>
      </c>
      <c r="L750" s="4">
        <v>1</v>
      </c>
      <c r="M750" s="4">
        <v>0</v>
      </c>
      <c r="N750" s="5">
        <v>40380</v>
      </c>
      <c r="O750" s="5">
        <v>0</v>
      </c>
      <c r="P750" s="5">
        <v>0</v>
      </c>
      <c r="Q750" s="5">
        <v>0</v>
      </c>
      <c r="R750" s="5">
        <v>0</v>
      </c>
      <c r="S750" s="5">
        <v>0</v>
      </c>
      <c r="T750" s="5">
        <f t="shared" si="97"/>
        <v>40380</v>
      </c>
      <c r="U750" s="5">
        <f>SUM(S750:S750)</f>
        <v>0</v>
      </c>
      <c r="V750" s="5">
        <v>0</v>
      </c>
      <c r="W750" s="5">
        <v>0</v>
      </c>
      <c r="X750" s="5">
        <v>0</v>
      </c>
      <c r="Y750" s="5">
        <v>40380</v>
      </c>
      <c r="Z750" s="5">
        <f t="shared" si="98"/>
        <v>40380</v>
      </c>
      <c r="AA750" s="20">
        <f t="shared" si="96"/>
        <v>0</v>
      </c>
    </row>
    <row r="751" spans="1:27" ht="12.75">
      <c r="A751" s="3" t="s">
        <v>1936</v>
      </c>
      <c r="B751" s="3" t="s">
        <v>3187</v>
      </c>
      <c r="C751" s="3" t="s">
        <v>3188</v>
      </c>
      <c r="D751" s="3" t="s">
        <v>102</v>
      </c>
      <c r="E751" s="3" t="s">
        <v>3191</v>
      </c>
      <c r="F751" s="3" t="s">
        <v>104</v>
      </c>
      <c r="G751" s="3" t="s">
        <v>1591</v>
      </c>
      <c r="H751" s="3" t="s">
        <v>1592</v>
      </c>
      <c r="I751" s="3" t="s">
        <v>103</v>
      </c>
      <c r="J751" s="4">
        <v>0</v>
      </c>
      <c r="K751" s="4">
        <v>0</v>
      </c>
      <c r="L751" s="4">
        <v>0</v>
      </c>
      <c r="M751" s="4">
        <v>0</v>
      </c>
      <c r="N751" s="5">
        <v>0</v>
      </c>
      <c r="O751" s="5">
        <v>0</v>
      </c>
      <c r="P751" s="5">
        <v>0</v>
      </c>
      <c r="Q751" s="5">
        <v>0</v>
      </c>
      <c r="R751" s="5">
        <v>0</v>
      </c>
      <c r="S751" s="5">
        <v>0</v>
      </c>
      <c r="T751" s="5">
        <f t="shared" si="97"/>
        <v>0</v>
      </c>
      <c r="U751" s="5">
        <v>800</v>
      </c>
      <c r="V751" s="5">
        <v>0</v>
      </c>
      <c r="W751" s="5">
        <v>0</v>
      </c>
      <c r="X751" s="5">
        <v>0</v>
      </c>
      <c r="Y751" s="5">
        <v>800</v>
      </c>
      <c r="Z751" s="5">
        <f t="shared" si="98"/>
        <v>800</v>
      </c>
      <c r="AA751" s="20">
        <f t="shared" si="96"/>
        <v>0</v>
      </c>
    </row>
    <row r="752" spans="1:27" ht="12.75">
      <c r="A752" s="3" t="s">
        <v>1936</v>
      </c>
      <c r="B752" s="3" t="s">
        <v>3187</v>
      </c>
      <c r="C752" s="3" t="s">
        <v>3188</v>
      </c>
      <c r="D752" s="3" t="s">
        <v>105</v>
      </c>
      <c r="E752" s="3" t="s">
        <v>3191</v>
      </c>
      <c r="F752" s="3" t="s">
        <v>107</v>
      </c>
      <c r="G752" s="3" t="s">
        <v>1591</v>
      </c>
      <c r="H752" s="3" t="s">
        <v>1592</v>
      </c>
      <c r="I752" s="3" t="s">
        <v>106</v>
      </c>
      <c r="J752" s="4">
        <v>0</v>
      </c>
      <c r="K752" s="4">
        <v>0</v>
      </c>
      <c r="L752" s="4">
        <v>0</v>
      </c>
      <c r="M752" s="4">
        <v>0</v>
      </c>
      <c r="N752" s="5">
        <v>0</v>
      </c>
      <c r="O752" s="5">
        <v>0</v>
      </c>
      <c r="P752" s="5">
        <v>0</v>
      </c>
      <c r="Q752" s="5">
        <v>0</v>
      </c>
      <c r="R752" s="5">
        <v>0</v>
      </c>
      <c r="S752" s="5">
        <v>0</v>
      </c>
      <c r="T752" s="5">
        <f t="shared" si="97"/>
        <v>0</v>
      </c>
      <c r="U752" s="5">
        <v>500</v>
      </c>
      <c r="V752" s="5">
        <v>0</v>
      </c>
      <c r="W752" s="5">
        <v>0</v>
      </c>
      <c r="X752" s="5">
        <v>0</v>
      </c>
      <c r="Y752" s="5">
        <v>500</v>
      </c>
      <c r="Z752" s="5">
        <f t="shared" si="98"/>
        <v>500</v>
      </c>
      <c r="AA752" s="20">
        <f t="shared" si="96"/>
        <v>0</v>
      </c>
    </row>
    <row r="753" spans="1:27" ht="12.75">
      <c r="A753" s="3" t="s">
        <v>1584</v>
      </c>
      <c r="B753" s="3" t="s">
        <v>3187</v>
      </c>
      <c r="C753" s="3" t="s">
        <v>3188</v>
      </c>
      <c r="D753" s="3" t="s">
        <v>108</v>
      </c>
      <c r="E753" s="3" t="s">
        <v>3191</v>
      </c>
      <c r="F753" s="3" t="s">
        <v>110</v>
      </c>
      <c r="G753" s="3" t="s">
        <v>1591</v>
      </c>
      <c r="H753" s="3" t="s">
        <v>1592</v>
      </c>
      <c r="I753" s="3" t="s">
        <v>622</v>
      </c>
      <c r="J753" s="4">
        <v>0</v>
      </c>
      <c r="K753" s="4">
        <v>0</v>
      </c>
      <c r="L753" s="4">
        <v>0</v>
      </c>
      <c r="M753" s="4">
        <v>0</v>
      </c>
      <c r="N753" s="5">
        <v>0</v>
      </c>
      <c r="O753" s="5">
        <v>0</v>
      </c>
      <c r="P753" s="5">
        <v>12000</v>
      </c>
      <c r="Q753" s="5">
        <v>0</v>
      </c>
      <c r="R753" s="5">
        <v>0</v>
      </c>
      <c r="S753" s="5">
        <v>0</v>
      </c>
      <c r="T753" s="5">
        <f t="shared" si="97"/>
        <v>12000</v>
      </c>
      <c r="U753" s="5">
        <v>1500</v>
      </c>
      <c r="V753" s="5">
        <v>0</v>
      </c>
      <c r="W753" s="5">
        <v>0</v>
      </c>
      <c r="X753" s="5">
        <v>0</v>
      </c>
      <c r="Y753" s="5">
        <v>13500</v>
      </c>
      <c r="Z753" s="5">
        <f t="shared" si="98"/>
        <v>13500</v>
      </c>
      <c r="AA753" s="20">
        <f t="shared" si="96"/>
        <v>0</v>
      </c>
    </row>
    <row r="754" spans="1:27" ht="12.75">
      <c r="A754" s="3" t="s">
        <v>1936</v>
      </c>
      <c r="B754" s="3" t="s">
        <v>3187</v>
      </c>
      <c r="C754" s="3" t="s">
        <v>3188</v>
      </c>
      <c r="D754" s="3" t="s">
        <v>111</v>
      </c>
      <c r="E754" s="3" t="s">
        <v>3191</v>
      </c>
      <c r="F754" s="3" t="s">
        <v>113</v>
      </c>
      <c r="G754" s="3" t="s">
        <v>1591</v>
      </c>
      <c r="H754" s="3" t="s">
        <v>1592</v>
      </c>
      <c r="I754" s="3" t="s">
        <v>112</v>
      </c>
      <c r="J754" s="4">
        <v>0</v>
      </c>
      <c r="K754" s="4">
        <v>0</v>
      </c>
      <c r="L754" s="4">
        <v>0</v>
      </c>
      <c r="M754" s="4">
        <v>0</v>
      </c>
      <c r="N754" s="5">
        <v>0</v>
      </c>
      <c r="O754" s="5">
        <v>0</v>
      </c>
      <c r="P754" s="5">
        <v>0</v>
      </c>
      <c r="Q754" s="5">
        <v>0</v>
      </c>
      <c r="R754" s="5">
        <v>0</v>
      </c>
      <c r="S754" s="5">
        <v>0</v>
      </c>
      <c r="T754" s="5">
        <f t="shared" si="97"/>
        <v>0</v>
      </c>
      <c r="U754" s="5">
        <v>1900</v>
      </c>
      <c r="V754" s="5">
        <v>0</v>
      </c>
      <c r="W754" s="5">
        <v>0</v>
      </c>
      <c r="X754" s="5">
        <v>1600</v>
      </c>
      <c r="Y754" s="5">
        <v>3500</v>
      </c>
      <c r="Z754" s="5">
        <f t="shared" si="98"/>
        <v>3500</v>
      </c>
      <c r="AA754" s="20">
        <f t="shared" si="96"/>
        <v>0</v>
      </c>
    </row>
    <row r="755" spans="1:27" ht="12.75">
      <c r="A755" s="3" t="s">
        <v>2595</v>
      </c>
      <c r="B755" s="3" t="s">
        <v>3187</v>
      </c>
      <c r="C755" s="3" t="s">
        <v>3188</v>
      </c>
      <c r="D755" s="3" t="s">
        <v>114</v>
      </c>
      <c r="E755" s="3" t="s">
        <v>3191</v>
      </c>
      <c r="F755" s="3" t="s">
        <v>116</v>
      </c>
      <c r="G755" s="3" t="s">
        <v>1591</v>
      </c>
      <c r="H755" s="3" t="s">
        <v>1592</v>
      </c>
      <c r="I755" s="3" t="s">
        <v>115</v>
      </c>
      <c r="J755" s="4">
        <v>0</v>
      </c>
      <c r="K755" s="4">
        <v>0</v>
      </c>
      <c r="L755" s="4">
        <v>0</v>
      </c>
      <c r="M755" s="4">
        <v>0</v>
      </c>
      <c r="N755" s="5">
        <v>0</v>
      </c>
      <c r="O755" s="5">
        <v>0</v>
      </c>
      <c r="P755" s="5">
        <v>0</v>
      </c>
      <c r="Q755" s="5">
        <v>0</v>
      </c>
      <c r="R755" s="5">
        <v>0</v>
      </c>
      <c r="S755" s="5">
        <v>0</v>
      </c>
      <c r="T755" s="5">
        <f t="shared" si="97"/>
        <v>0</v>
      </c>
      <c r="U755" s="5">
        <v>38500</v>
      </c>
      <c r="V755" s="5">
        <v>0</v>
      </c>
      <c r="W755" s="5">
        <v>0</v>
      </c>
      <c r="X755" s="5">
        <v>0</v>
      </c>
      <c r="Y755" s="5">
        <v>38500</v>
      </c>
      <c r="Z755" s="5">
        <f t="shared" si="98"/>
        <v>38500</v>
      </c>
      <c r="AA755" s="20">
        <f t="shared" si="96"/>
        <v>0</v>
      </c>
    </row>
    <row r="756" spans="1:27" ht="12.75">
      <c r="A756" s="3" t="s">
        <v>2595</v>
      </c>
      <c r="B756" s="3" t="s">
        <v>3187</v>
      </c>
      <c r="C756" s="3" t="s">
        <v>3188</v>
      </c>
      <c r="D756" s="3" t="s">
        <v>117</v>
      </c>
      <c r="E756" s="19">
        <v>1700</v>
      </c>
      <c r="F756" s="19">
        <v>13365</v>
      </c>
      <c r="G756" s="19" t="s">
        <v>1591</v>
      </c>
      <c r="H756" s="19">
        <v>2000</v>
      </c>
      <c r="I756" s="3" t="s">
        <v>118</v>
      </c>
      <c r="J756" s="4">
        <v>0</v>
      </c>
      <c r="K756" s="4">
        <v>0</v>
      </c>
      <c r="L756" s="4">
        <v>0</v>
      </c>
      <c r="M756" s="4">
        <v>0</v>
      </c>
      <c r="N756" s="5">
        <v>0</v>
      </c>
      <c r="O756" s="5">
        <v>0</v>
      </c>
      <c r="P756" s="5">
        <v>0</v>
      </c>
      <c r="Q756" s="5">
        <v>0</v>
      </c>
      <c r="R756" s="5">
        <v>0</v>
      </c>
      <c r="S756" s="5">
        <v>0</v>
      </c>
      <c r="T756" s="5">
        <f t="shared" si="97"/>
        <v>0</v>
      </c>
      <c r="U756" s="5">
        <v>2450</v>
      </c>
      <c r="V756" s="5">
        <v>0</v>
      </c>
      <c r="W756" s="5">
        <v>0</v>
      </c>
      <c r="X756" s="5">
        <v>0</v>
      </c>
      <c r="Y756" s="5">
        <v>2450</v>
      </c>
      <c r="Z756" s="5">
        <f t="shared" si="98"/>
        <v>2450</v>
      </c>
      <c r="AA756" s="20">
        <f t="shared" si="96"/>
        <v>0</v>
      </c>
    </row>
    <row r="757" spans="1:27" ht="12.75">
      <c r="A757" s="3" t="s">
        <v>1936</v>
      </c>
      <c r="B757" s="3" t="s">
        <v>3187</v>
      </c>
      <c r="C757" s="3" t="s">
        <v>3188</v>
      </c>
      <c r="D757" s="3" t="s">
        <v>119</v>
      </c>
      <c r="E757" s="3" t="s">
        <v>3191</v>
      </c>
      <c r="F757" s="3" t="s">
        <v>121</v>
      </c>
      <c r="G757" s="3" t="s">
        <v>1591</v>
      </c>
      <c r="H757" s="3" t="s">
        <v>1592</v>
      </c>
      <c r="I757" s="3" t="s">
        <v>120</v>
      </c>
      <c r="J757" s="4">
        <v>0</v>
      </c>
      <c r="K757" s="4">
        <v>0</v>
      </c>
      <c r="L757" s="4">
        <v>0</v>
      </c>
      <c r="M757" s="4">
        <v>0</v>
      </c>
      <c r="N757" s="5">
        <v>0</v>
      </c>
      <c r="O757" s="5">
        <v>0</v>
      </c>
      <c r="P757" s="5">
        <v>0</v>
      </c>
      <c r="Q757" s="5">
        <v>0</v>
      </c>
      <c r="R757" s="5">
        <v>0</v>
      </c>
      <c r="S757" s="5">
        <v>0</v>
      </c>
      <c r="T757" s="5">
        <f t="shared" si="97"/>
        <v>0</v>
      </c>
      <c r="U757" s="5">
        <v>2400</v>
      </c>
      <c r="V757" s="5">
        <v>0</v>
      </c>
      <c r="W757" s="5">
        <v>0</v>
      </c>
      <c r="X757" s="5">
        <v>0</v>
      </c>
      <c r="Y757" s="5">
        <v>2400</v>
      </c>
      <c r="Z757" s="5">
        <f t="shared" si="98"/>
        <v>2400</v>
      </c>
      <c r="AA757" s="20">
        <f t="shared" si="96"/>
        <v>0</v>
      </c>
    </row>
    <row r="758" spans="1:27" ht="12.75">
      <c r="A758" s="3" t="s">
        <v>1936</v>
      </c>
      <c r="B758" s="3" t="s">
        <v>3187</v>
      </c>
      <c r="C758" s="3" t="s">
        <v>3188</v>
      </c>
      <c r="D758" s="3" t="s">
        <v>122</v>
      </c>
      <c r="E758" s="3" t="s">
        <v>3191</v>
      </c>
      <c r="F758" s="3" t="s">
        <v>124</v>
      </c>
      <c r="G758" s="3" t="s">
        <v>1591</v>
      </c>
      <c r="H758" s="3" t="s">
        <v>1592</v>
      </c>
      <c r="I758" s="3" t="s">
        <v>123</v>
      </c>
      <c r="J758" s="4">
        <v>0</v>
      </c>
      <c r="K758" s="4">
        <v>0</v>
      </c>
      <c r="L758" s="4">
        <v>0</v>
      </c>
      <c r="M758" s="4">
        <v>0</v>
      </c>
      <c r="N758" s="5">
        <v>0</v>
      </c>
      <c r="O758" s="5">
        <v>0</v>
      </c>
      <c r="P758" s="5">
        <v>2500</v>
      </c>
      <c r="Q758" s="5">
        <v>0</v>
      </c>
      <c r="R758" s="5">
        <v>0</v>
      </c>
      <c r="S758" s="5">
        <v>0</v>
      </c>
      <c r="T758" s="5">
        <f t="shared" si="97"/>
        <v>2500</v>
      </c>
      <c r="U758" s="5">
        <v>7000</v>
      </c>
      <c r="V758" s="5">
        <v>0</v>
      </c>
      <c r="W758" s="5">
        <v>0</v>
      </c>
      <c r="X758" s="5">
        <v>500</v>
      </c>
      <c r="Y758" s="5">
        <v>10000</v>
      </c>
      <c r="Z758" s="5">
        <f t="shared" si="98"/>
        <v>10000</v>
      </c>
      <c r="AA758" s="20">
        <f t="shared" si="96"/>
        <v>0</v>
      </c>
    </row>
    <row r="759" spans="1:27" ht="12.75">
      <c r="A759" s="3" t="s">
        <v>1936</v>
      </c>
      <c r="B759" s="3" t="s">
        <v>3187</v>
      </c>
      <c r="C759" s="3" t="s">
        <v>3188</v>
      </c>
      <c r="D759" s="3" t="s">
        <v>125</v>
      </c>
      <c r="E759" s="3" t="s">
        <v>3191</v>
      </c>
      <c r="F759" s="3" t="s">
        <v>191</v>
      </c>
      <c r="G759" s="3" t="s">
        <v>1591</v>
      </c>
      <c r="H759" s="3" t="s">
        <v>1592</v>
      </c>
      <c r="I759" s="3" t="s">
        <v>126</v>
      </c>
      <c r="J759" s="4">
        <v>0</v>
      </c>
      <c r="K759" s="4">
        <v>0</v>
      </c>
      <c r="L759" s="4">
        <v>0</v>
      </c>
      <c r="M759" s="4">
        <v>0</v>
      </c>
      <c r="N759" s="5">
        <v>0</v>
      </c>
      <c r="O759" s="5">
        <v>0</v>
      </c>
      <c r="P759" s="5">
        <v>0</v>
      </c>
      <c r="Q759" s="5">
        <v>0</v>
      </c>
      <c r="R759" s="5">
        <v>0</v>
      </c>
      <c r="S759" s="5">
        <v>0</v>
      </c>
      <c r="T759" s="5">
        <f t="shared" si="97"/>
        <v>0</v>
      </c>
      <c r="U759" s="5">
        <v>3000</v>
      </c>
      <c r="V759" s="5">
        <v>0</v>
      </c>
      <c r="W759" s="5">
        <v>0</v>
      </c>
      <c r="X759" s="5">
        <v>0</v>
      </c>
      <c r="Y759" s="5">
        <v>3000</v>
      </c>
      <c r="Z759" s="5">
        <f t="shared" si="98"/>
        <v>3000</v>
      </c>
      <c r="AA759" s="20">
        <f t="shared" si="96"/>
        <v>0</v>
      </c>
    </row>
    <row r="760" spans="1:27" ht="12.75">
      <c r="A760" s="3" t="s">
        <v>2595</v>
      </c>
      <c r="B760" s="3" t="s">
        <v>3187</v>
      </c>
      <c r="C760" s="3" t="s">
        <v>3188</v>
      </c>
      <c r="D760" s="3" t="s">
        <v>192</v>
      </c>
      <c r="E760" s="3" t="s">
        <v>3191</v>
      </c>
      <c r="F760" s="3" t="s">
        <v>194</v>
      </c>
      <c r="G760" s="3" t="s">
        <v>1591</v>
      </c>
      <c r="H760" s="3" t="s">
        <v>1592</v>
      </c>
      <c r="I760" s="3" t="s">
        <v>193</v>
      </c>
      <c r="J760" s="4">
        <v>0</v>
      </c>
      <c r="K760" s="4">
        <v>0</v>
      </c>
      <c r="L760" s="4">
        <v>0</v>
      </c>
      <c r="M760" s="4">
        <v>0</v>
      </c>
      <c r="N760" s="5">
        <v>0</v>
      </c>
      <c r="O760" s="5">
        <v>0</v>
      </c>
      <c r="P760" s="5">
        <v>0</v>
      </c>
      <c r="Q760" s="5">
        <v>0</v>
      </c>
      <c r="R760" s="5">
        <v>0</v>
      </c>
      <c r="S760" s="5">
        <v>0</v>
      </c>
      <c r="T760" s="5">
        <f t="shared" si="97"/>
        <v>0</v>
      </c>
      <c r="U760" s="5">
        <v>22000</v>
      </c>
      <c r="V760" s="5">
        <v>0</v>
      </c>
      <c r="W760" s="5">
        <v>0</v>
      </c>
      <c r="X760" s="5">
        <v>0</v>
      </c>
      <c r="Y760" s="5">
        <v>22000</v>
      </c>
      <c r="Z760" s="5">
        <f t="shared" si="98"/>
        <v>22000</v>
      </c>
      <c r="AA760" s="20">
        <f t="shared" si="96"/>
        <v>0</v>
      </c>
    </row>
    <row r="761" spans="1:27" ht="12.75">
      <c r="A761" s="3" t="s">
        <v>2595</v>
      </c>
      <c r="B761" s="3" t="s">
        <v>3187</v>
      </c>
      <c r="C761" s="3" t="s">
        <v>3188</v>
      </c>
      <c r="D761" s="3" t="s">
        <v>195</v>
      </c>
      <c r="E761" s="3" t="s">
        <v>3197</v>
      </c>
      <c r="F761" s="3" t="s">
        <v>197</v>
      </c>
      <c r="G761" s="3" t="s">
        <v>1591</v>
      </c>
      <c r="H761" s="3" t="s">
        <v>1592</v>
      </c>
      <c r="I761" s="3" t="s">
        <v>196</v>
      </c>
      <c r="J761" s="4">
        <v>0</v>
      </c>
      <c r="K761" s="4">
        <v>0</v>
      </c>
      <c r="L761" s="4">
        <v>0</v>
      </c>
      <c r="M761" s="4">
        <v>0</v>
      </c>
      <c r="N761" s="5">
        <v>0</v>
      </c>
      <c r="O761" s="5">
        <v>0</v>
      </c>
      <c r="P761" s="5">
        <v>0</v>
      </c>
      <c r="Q761" s="5">
        <v>0</v>
      </c>
      <c r="R761" s="5">
        <v>0</v>
      </c>
      <c r="S761" s="5">
        <v>0</v>
      </c>
      <c r="T761" s="5">
        <f t="shared" si="97"/>
        <v>0</v>
      </c>
      <c r="U761" s="5">
        <v>96000</v>
      </c>
      <c r="V761" s="5">
        <v>0</v>
      </c>
      <c r="W761" s="5">
        <v>0</v>
      </c>
      <c r="X761" s="5">
        <v>0</v>
      </c>
      <c r="Y761" s="5">
        <v>96000</v>
      </c>
      <c r="Z761" s="5">
        <f t="shared" si="98"/>
        <v>96000</v>
      </c>
      <c r="AA761" s="20">
        <f t="shared" si="96"/>
        <v>0</v>
      </c>
    </row>
    <row r="762" spans="1:27" ht="12.75">
      <c r="A762" s="3" t="s">
        <v>2912</v>
      </c>
      <c r="B762" s="3" t="s">
        <v>3187</v>
      </c>
      <c r="C762" s="3" t="s">
        <v>3188</v>
      </c>
      <c r="D762" s="3" t="s">
        <v>198</v>
      </c>
      <c r="E762" s="3" t="s">
        <v>3191</v>
      </c>
      <c r="F762" s="3" t="s">
        <v>200</v>
      </c>
      <c r="G762" s="3" t="s">
        <v>1591</v>
      </c>
      <c r="H762" s="3" t="s">
        <v>1592</v>
      </c>
      <c r="I762" s="3" t="s">
        <v>199</v>
      </c>
      <c r="J762" s="4">
        <v>0</v>
      </c>
      <c r="K762" s="4">
        <v>0</v>
      </c>
      <c r="L762" s="4">
        <v>1.3</v>
      </c>
      <c r="M762" s="4">
        <v>0</v>
      </c>
      <c r="N762" s="5">
        <v>34182</v>
      </c>
      <c r="O762" s="5">
        <v>0</v>
      </c>
      <c r="P762" s="5">
        <v>0</v>
      </c>
      <c r="Q762" s="5">
        <v>0</v>
      </c>
      <c r="R762" s="5">
        <v>0</v>
      </c>
      <c r="S762" s="5">
        <v>0</v>
      </c>
      <c r="T762" s="5">
        <f t="shared" si="97"/>
        <v>34182</v>
      </c>
      <c r="U762" s="5">
        <f>SUM(S762:S762)</f>
        <v>0</v>
      </c>
      <c r="V762" s="5">
        <v>0</v>
      </c>
      <c r="W762" s="5">
        <v>0</v>
      </c>
      <c r="X762" s="5">
        <v>0</v>
      </c>
      <c r="Y762" s="5">
        <v>34182</v>
      </c>
      <c r="Z762" s="5">
        <f t="shared" si="98"/>
        <v>34182</v>
      </c>
      <c r="AA762" s="20">
        <f t="shared" si="96"/>
        <v>0</v>
      </c>
    </row>
    <row r="763" spans="1:27" ht="12.75">
      <c r="A763" s="3" t="s">
        <v>1584</v>
      </c>
      <c r="B763" s="3" t="s">
        <v>1424</v>
      </c>
      <c r="C763" s="3" t="s">
        <v>1425</v>
      </c>
      <c r="D763" s="3" t="s">
        <v>1426</v>
      </c>
      <c r="E763" s="3" t="s">
        <v>1428</v>
      </c>
      <c r="F763" s="3" t="s">
        <v>1429</v>
      </c>
      <c r="G763" s="3" t="s">
        <v>1591</v>
      </c>
      <c r="H763" s="3" t="s">
        <v>1592</v>
      </c>
      <c r="I763" s="3" t="s">
        <v>1427</v>
      </c>
      <c r="J763" s="4">
        <v>0</v>
      </c>
      <c r="K763" s="4">
        <v>0</v>
      </c>
      <c r="L763" s="4">
        <v>0</v>
      </c>
      <c r="M763" s="4">
        <v>0</v>
      </c>
      <c r="N763" s="5">
        <v>0</v>
      </c>
      <c r="O763" s="5">
        <v>0</v>
      </c>
      <c r="P763" s="5">
        <v>90000</v>
      </c>
      <c r="Q763" s="5">
        <v>0</v>
      </c>
      <c r="R763" s="5">
        <v>578</v>
      </c>
      <c r="S763" s="5">
        <v>26000</v>
      </c>
      <c r="T763" s="5">
        <f t="shared" si="97"/>
        <v>90578</v>
      </c>
      <c r="U763" s="5">
        <f>26000+11500</f>
        <v>37500</v>
      </c>
      <c r="V763" s="5">
        <v>0</v>
      </c>
      <c r="W763" s="5">
        <v>0</v>
      </c>
      <c r="X763" s="5">
        <v>250</v>
      </c>
      <c r="Y763" s="5">
        <v>128328</v>
      </c>
      <c r="Z763" s="5">
        <f t="shared" si="98"/>
        <v>128328</v>
      </c>
      <c r="AA763" s="20">
        <f t="shared" si="96"/>
        <v>0</v>
      </c>
    </row>
    <row r="764" spans="1:27" ht="12.75">
      <c r="A764" s="3" t="s">
        <v>1584</v>
      </c>
      <c r="B764" s="3" t="s">
        <v>1424</v>
      </c>
      <c r="C764" s="3" t="s">
        <v>1425</v>
      </c>
      <c r="D764" s="3" t="s">
        <v>1430</v>
      </c>
      <c r="E764" s="3" t="s">
        <v>1428</v>
      </c>
      <c r="F764" s="3" t="s">
        <v>1432</v>
      </c>
      <c r="G764" s="3" t="s">
        <v>1591</v>
      </c>
      <c r="H764" s="3" t="s">
        <v>1592</v>
      </c>
      <c r="I764" s="3" t="s">
        <v>1431</v>
      </c>
      <c r="J764" s="4">
        <v>0</v>
      </c>
      <c r="K764" s="4">
        <v>0</v>
      </c>
      <c r="L764" s="4">
        <v>1</v>
      </c>
      <c r="M764" s="4">
        <v>0</v>
      </c>
      <c r="N764" s="5">
        <v>18708</v>
      </c>
      <c r="O764" s="5">
        <v>0</v>
      </c>
      <c r="P764" s="5">
        <v>7594</v>
      </c>
      <c r="Q764" s="5">
        <v>0</v>
      </c>
      <c r="R764" s="5">
        <v>6082</v>
      </c>
      <c r="S764" s="5">
        <v>0</v>
      </c>
      <c r="T764" s="5">
        <f t="shared" si="97"/>
        <v>32384</v>
      </c>
      <c r="U764" s="5">
        <v>8950</v>
      </c>
      <c r="V764" s="5">
        <v>0</v>
      </c>
      <c r="W764" s="5">
        <v>0</v>
      </c>
      <c r="X764" s="5">
        <v>3500</v>
      </c>
      <c r="Y764" s="5">
        <v>44834</v>
      </c>
      <c r="Z764" s="5">
        <f t="shared" si="98"/>
        <v>44834</v>
      </c>
      <c r="AA764" s="20">
        <f t="shared" si="96"/>
        <v>0</v>
      </c>
    </row>
    <row r="765" spans="1:27" ht="12.75">
      <c r="A765" s="3" t="s">
        <v>1584</v>
      </c>
      <c r="B765" s="3" t="s">
        <v>1424</v>
      </c>
      <c r="C765" s="3" t="s">
        <v>1425</v>
      </c>
      <c r="D765" s="3" t="s">
        <v>1433</v>
      </c>
      <c r="E765" s="3" t="s">
        <v>1428</v>
      </c>
      <c r="F765" s="3" t="s">
        <v>1435</v>
      </c>
      <c r="G765" s="3" t="s">
        <v>1591</v>
      </c>
      <c r="H765" s="3" t="s">
        <v>1592</v>
      </c>
      <c r="I765" s="3" t="s">
        <v>1434</v>
      </c>
      <c r="J765" s="4">
        <v>0</v>
      </c>
      <c r="K765" s="4">
        <v>0</v>
      </c>
      <c r="L765" s="4">
        <v>0</v>
      </c>
      <c r="M765" s="4">
        <v>0</v>
      </c>
      <c r="N765" s="5">
        <v>0</v>
      </c>
      <c r="O765" s="5">
        <v>0</v>
      </c>
      <c r="P765" s="5">
        <v>6397</v>
      </c>
      <c r="Q765" s="5">
        <v>0</v>
      </c>
      <c r="R765" s="5">
        <v>3</v>
      </c>
      <c r="S765" s="5">
        <v>0</v>
      </c>
      <c r="T765" s="5">
        <f t="shared" si="97"/>
        <v>6400</v>
      </c>
      <c r="U765" s="5">
        <v>2934</v>
      </c>
      <c r="V765" s="5">
        <v>0</v>
      </c>
      <c r="W765" s="5">
        <v>0</v>
      </c>
      <c r="X765" s="5">
        <v>3100</v>
      </c>
      <c r="Y765" s="5">
        <v>12434</v>
      </c>
      <c r="Z765" s="5">
        <f t="shared" si="98"/>
        <v>12434</v>
      </c>
      <c r="AA765" s="20">
        <f t="shared" si="96"/>
        <v>0</v>
      </c>
    </row>
    <row r="766" spans="1:27" ht="12.75">
      <c r="A766" s="3" t="s">
        <v>1584</v>
      </c>
      <c r="B766" s="3" t="s">
        <v>1424</v>
      </c>
      <c r="C766" s="3" t="s">
        <v>1425</v>
      </c>
      <c r="D766" s="3" t="s">
        <v>1436</v>
      </c>
      <c r="E766" s="3" t="s">
        <v>1428</v>
      </c>
      <c r="F766" s="3" t="s">
        <v>1438</v>
      </c>
      <c r="G766" s="3" t="s">
        <v>1591</v>
      </c>
      <c r="H766" s="3" t="s">
        <v>1592</v>
      </c>
      <c r="I766" s="3" t="s">
        <v>1437</v>
      </c>
      <c r="J766" s="4">
        <v>0</v>
      </c>
      <c r="K766" s="4">
        <v>0</v>
      </c>
      <c r="L766" s="4">
        <v>2</v>
      </c>
      <c r="M766" s="4">
        <v>0</v>
      </c>
      <c r="N766" s="5">
        <v>43488</v>
      </c>
      <c r="O766" s="5">
        <v>0</v>
      </c>
      <c r="P766" s="5">
        <v>10246</v>
      </c>
      <c r="Q766" s="5">
        <v>0</v>
      </c>
      <c r="R766" s="5">
        <v>13170</v>
      </c>
      <c r="S766" s="5">
        <v>1200</v>
      </c>
      <c r="T766" s="5">
        <f t="shared" si="97"/>
        <v>66904</v>
      </c>
      <c r="U766" s="5">
        <f>1200+10150</f>
        <v>11350</v>
      </c>
      <c r="V766" s="5">
        <v>0</v>
      </c>
      <c r="W766" s="5">
        <v>1000</v>
      </c>
      <c r="X766" s="5">
        <v>0</v>
      </c>
      <c r="Y766" s="5">
        <v>79254</v>
      </c>
      <c r="Z766" s="5">
        <f t="shared" si="98"/>
        <v>79254</v>
      </c>
      <c r="AA766" s="20">
        <f t="shared" si="96"/>
        <v>0</v>
      </c>
    </row>
    <row r="767" spans="1:27" ht="12.75">
      <c r="A767" s="3" t="s">
        <v>1584</v>
      </c>
      <c r="B767" s="3" t="s">
        <v>1424</v>
      </c>
      <c r="C767" s="3" t="s">
        <v>1425</v>
      </c>
      <c r="D767" s="3" t="s">
        <v>1439</v>
      </c>
      <c r="E767" s="3" t="s">
        <v>1428</v>
      </c>
      <c r="F767" s="3" t="s">
        <v>1441</v>
      </c>
      <c r="G767" s="3" t="s">
        <v>1591</v>
      </c>
      <c r="H767" s="3" t="s">
        <v>1592</v>
      </c>
      <c r="I767" s="3" t="s">
        <v>1440</v>
      </c>
      <c r="J767" s="4">
        <v>0</v>
      </c>
      <c r="K767" s="4">
        <v>0</v>
      </c>
      <c r="L767" s="4">
        <v>1</v>
      </c>
      <c r="M767" s="4">
        <v>0</v>
      </c>
      <c r="N767" s="5">
        <v>18372</v>
      </c>
      <c r="O767" s="5">
        <v>0</v>
      </c>
      <c r="P767" s="5">
        <v>25000</v>
      </c>
      <c r="Q767" s="5">
        <v>0</v>
      </c>
      <c r="R767" s="5">
        <v>5500</v>
      </c>
      <c r="S767" s="5">
        <v>1700</v>
      </c>
      <c r="T767" s="5">
        <f t="shared" si="97"/>
        <v>48872</v>
      </c>
      <c r="U767" s="5">
        <f>1700+2500</f>
        <v>4200</v>
      </c>
      <c r="V767" s="5">
        <v>0</v>
      </c>
      <c r="W767" s="5">
        <v>0</v>
      </c>
      <c r="X767" s="5">
        <v>0</v>
      </c>
      <c r="Y767" s="5">
        <v>53072</v>
      </c>
      <c r="Z767" s="5">
        <f t="shared" si="98"/>
        <v>53072</v>
      </c>
      <c r="AA767" s="20">
        <f t="shared" si="96"/>
        <v>0</v>
      </c>
    </row>
    <row r="768" spans="1:27" ht="12.75">
      <c r="A768" s="3" t="s">
        <v>1584</v>
      </c>
      <c r="B768" s="3" t="s">
        <v>1424</v>
      </c>
      <c r="C768" s="3" t="s">
        <v>1425</v>
      </c>
      <c r="D768" s="3" t="s">
        <v>1442</v>
      </c>
      <c r="E768" s="3" t="s">
        <v>1428</v>
      </c>
      <c r="F768" s="3" t="s">
        <v>1444</v>
      </c>
      <c r="G768" s="3" t="s">
        <v>1591</v>
      </c>
      <c r="H768" s="3" t="s">
        <v>1592</v>
      </c>
      <c r="I768" s="3" t="s">
        <v>1443</v>
      </c>
      <c r="J768" s="4">
        <v>0</v>
      </c>
      <c r="K768" s="4">
        <v>0</v>
      </c>
      <c r="L768" s="4">
        <v>1</v>
      </c>
      <c r="M768" s="4">
        <v>0</v>
      </c>
      <c r="N768" s="5">
        <v>30816</v>
      </c>
      <c r="O768" s="5">
        <v>0</v>
      </c>
      <c r="P768" s="5">
        <v>45935</v>
      </c>
      <c r="Q768" s="5">
        <v>0</v>
      </c>
      <c r="R768" s="5">
        <v>14240</v>
      </c>
      <c r="S768" s="5">
        <v>262</v>
      </c>
      <c r="T768" s="5">
        <f t="shared" si="97"/>
        <v>90991</v>
      </c>
      <c r="U768" s="5">
        <f>262+6305</f>
        <v>6567</v>
      </c>
      <c r="V768" s="5">
        <v>0</v>
      </c>
      <c r="W768" s="5">
        <v>0</v>
      </c>
      <c r="X768" s="5">
        <v>0</v>
      </c>
      <c r="Y768" s="5">
        <v>97558</v>
      </c>
      <c r="Z768" s="5">
        <f t="shared" si="98"/>
        <v>97558</v>
      </c>
      <c r="AA768" s="20">
        <f t="shared" si="96"/>
        <v>0</v>
      </c>
    </row>
    <row r="769" spans="1:27" ht="12.75">
      <c r="A769" s="3" t="s">
        <v>1584</v>
      </c>
      <c r="B769" s="3" t="s">
        <v>1424</v>
      </c>
      <c r="C769" s="3" t="s">
        <v>1425</v>
      </c>
      <c r="D769" s="3" t="s">
        <v>1445</v>
      </c>
      <c r="E769" s="3" t="s">
        <v>1447</v>
      </c>
      <c r="F769" s="3" t="s">
        <v>1448</v>
      </c>
      <c r="G769" s="3" t="s">
        <v>1591</v>
      </c>
      <c r="H769" s="3" t="s">
        <v>1592</v>
      </c>
      <c r="I769" s="3" t="s">
        <v>1446</v>
      </c>
      <c r="J769" s="4">
        <v>0</v>
      </c>
      <c r="K769" s="4">
        <v>0</v>
      </c>
      <c r="L769" s="4">
        <v>1</v>
      </c>
      <c r="M769" s="4">
        <v>0</v>
      </c>
      <c r="N769" s="5">
        <v>22140</v>
      </c>
      <c r="O769" s="5">
        <v>0</v>
      </c>
      <c r="P769" s="5">
        <v>95225</v>
      </c>
      <c r="Q769" s="5">
        <v>0</v>
      </c>
      <c r="R769" s="5">
        <v>30472</v>
      </c>
      <c r="S769" s="5">
        <v>1200</v>
      </c>
      <c r="T769" s="5">
        <f t="shared" si="97"/>
        <v>147837</v>
      </c>
      <c r="U769" s="5">
        <f>1200+12588</f>
        <v>13788</v>
      </c>
      <c r="V769" s="5">
        <v>0</v>
      </c>
      <c r="W769" s="5">
        <v>0</v>
      </c>
      <c r="X769" s="5">
        <v>600</v>
      </c>
      <c r="Y769" s="5">
        <v>162225</v>
      </c>
      <c r="Z769" s="5">
        <f t="shared" si="98"/>
        <v>162225</v>
      </c>
      <c r="AA769" s="20">
        <f t="shared" si="96"/>
        <v>0</v>
      </c>
    </row>
    <row r="770" spans="1:27" ht="12.75">
      <c r="A770" s="3" t="s">
        <v>1584</v>
      </c>
      <c r="B770" s="3" t="s">
        <v>1424</v>
      </c>
      <c r="C770" s="3" t="s">
        <v>1425</v>
      </c>
      <c r="D770" s="3" t="s">
        <v>1449</v>
      </c>
      <c r="E770" s="3" t="s">
        <v>1447</v>
      </c>
      <c r="F770" s="3" t="s">
        <v>1451</v>
      </c>
      <c r="G770" s="3" t="s">
        <v>1591</v>
      </c>
      <c r="H770" s="3" t="s">
        <v>1592</v>
      </c>
      <c r="I770" s="3" t="s">
        <v>1450</v>
      </c>
      <c r="J770" s="4">
        <v>0</v>
      </c>
      <c r="K770" s="4">
        <v>0</v>
      </c>
      <c r="L770" s="4">
        <v>0</v>
      </c>
      <c r="M770" s="4">
        <v>0</v>
      </c>
      <c r="N770" s="5">
        <v>0</v>
      </c>
      <c r="O770" s="5">
        <v>0</v>
      </c>
      <c r="P770" s="5">
        <v>50000</v>
      </c>
      <c r="Q770" s="5">
        <v>0</v>
      </c>
      <c r="R770" s="5">
        <v>1000</v>
      </c>
      <c r="S770" s="5">
        <v>0</v>
      </c>
      <c r="T770" s="5">
        <f t="shared" si="97"/>
        <v>51000</v>
      </c>
      <c r="U770" s="5">
        <v>95707</v>
      </c>
      <c r="V770" s="5">
        <v>0</v>
      </c>
      <c r="W770" s="5">
        <v>17015</v>
      </c>
      <c r="X770" s="5">
        <v>100</v>
      </c>
      <c r="Y770" s="5">
        <v>163822</v>
      </c>
      <c r="Z770" s="5">
        <f t="shared" si="98"/>
        <v>163822</v>
      </c>
      <c r="AA770" s="20">
        <f t="shared" si="96"/>
        <v>0</v>
      </c>
    </row>
    <row r="771" spans="1:27" ht="12.75">
      <c r="A771" s="3" t="s">
        <v>1584</v>
      </c>
      <c r="B771" s="3" t="s">
        <v>1424</v>
      </c>
      <c r="C771" s="3" t="s">
        <v>1425</v>
      </c>
      <c r="D771" s="3" t="s">
        <v>1452</v>
      </c>
      <c r="E771" s="3" t="s">
        <v>1447</v>
      </c>
      <c r="F771" s="3" t="s">
        <v>1454</v>
      </c>
      <c r="G771" s="3" t="s">
        <v>1591</v>
      </c>
      <c r="H771" s="3" t="s">
        <v>1592</v>
      </c>
      <c r="I771" s="3" t="s">
        <v>1453</v>
      </c>
      <c r="J771" s="4">
        <v>0</v>
      </c>
      <c r="K771" s="4">
        <v>0</v>
      </c>
      <c r="L771" s="4">
        <v>0</v>
      </c>
      <c r="M771" s="4">
        <v>0</v>
      </c>
      <c r="N771" s="5">
        <v>0</v>
      </c>
      <c r="O771" s="5">
        <v>0</v>
      </c>
      <c r="P771" s="5">
        <v>3000</v>
      </c>
      <c r="Q771" s="5">
        <v>0</v>
      </c>
      <c r="R771" s="5">
        <v>43</v>
      </c>
      <c r="S771" s="5">
        <v>0</v>
      </c>
      <c r="T771" s="5">
        <f t="shared" si="97"/>
        <v>3043</v>
      </c>
      <c r="U771" s="5">
        <v>11300</v>
      </c>
      <c r="V771" s="5">
        <v>0</v>
      </c>
      <c r="W771" s="5">
        <v>0</v>
      </c>
      <c r="X771" s="5">
        <v>0</v>
      </c>
      <c r="Y771" s="5">
        <v>14343</v>
      </c>
      <c r="Z771" s="5">
        <f t="shared" si="98"/>
        <v>14343</v>
      </c>
      <c r="AA771" s="20">
        <f t="shared" si="96"/>
        <v>0</v>
      </c>
    </row>
    <row r="772" spans="1:27" ht="12.75">
      <c r="A772" s="3" t="s">
        <v>1584</v>
      </c>
      <c r="B772" s="3" t="s">
        <v>1424</v>
      </c>
      <c r="C772" s="3" t="s">
        <v>1425</v>
      </c>
      <c r="D772" s="3" t="s">
        <v>1455</v>
      </c>
      <c r="E772" s="3" t="s">
        <v>1447</v>
      </c>
      <c r="F772" s="3" t="s">
        <v>1457</v>
      </c>
      <c r="G772" s="3" t="s">
        <v>1591</v>
      </c>
      <c r="H772" s="3" t="s">
        <v>1592</v>
      </c>
      <c r="I772" s="3" t="s">
        <v>1456</v>
      </c>
      <c r="J772" s="4">
        <v>0</v>
      </c>
      <c r="K772" s="4">
        <v>0</v>
      </c>
      <c r="L772" s="4">
        <v>0</v>
      </c>
      <c r="M772" s="4">
        <v>0</v>
      </c>
      <c r="N772" s="5">
        <v>0</v>
      </c>
      <c r="O772" s="5">
        <v>0</v>
      </c>
      <c r="P772" s="5">
        <v>1775</v>
      </c>
      <c r="Q772" s="5">
        <v>0</v>
      </c>
      <c r="R772" s="5">
        <v>9</v>
      </c>
      <c r="S772" s="5">
        <v>0</v>
      </c>
      <c r="T772" s="5">
        <f t="shared" si="97"/>
        <v>1784</v>
      </c>
      <c r="U772" s="5">
        <v>6420</v>
      </c>
      <c r="V772" s="5">
        <v>0</v>
      </c>
      <c r="W772" s="5">
        <v>0</v>
      </c>
      <c r="X772" s="5">
        <v>40</v>
      </c>
      <c r="Y772" s="5">
        <v>8244</v>
      </c>
      <c r="Z772" s="5">
        <f t="shared" si="98"/>
        <v>8244</v>
      </c>
      <c r="AA772" s="20">
        <f t="shared" si="96"/>
        <v>0</v>
      </c>
    </row>
    <row r="773" spans="1:27" ht="12.75">
      <c r="A773" s="3" t="s">
        <v>1584</v>
      </c>
      <c r="B773" s="3" t="s">
        <v>1424</v>
      </c>
      <c r="C773" s="3" t="s">
        <v>1425</v>
      </c>
      <c r="D773" s="3" t="s">
        <v>1458</v>
      </c>
      <c r="E773" s="3" t="s">
        <v>1428</v>
      </c>
      <c r="F773" s="3" t="s">
        <v>1460</v>
      </c>
      <c r="G773" s="3" t="s">
        <v>1591</v>
      </c>
      <c r="H773" s="3" t="s">
        <v>1592</v>
      </c>
      <c r="I773" s="3" t="s">
        <v>1459</v>
      </c>
      <c r="J773" s="4">
        <v>0</v>
      </c>
      <c r="K773" s="4">
        <v>0</v>
      </c>
      <c r="L773" s="4">
        <v>1.5579999999999998</v>
      </c>
      <c r="M773" s="4">
        <v>0</v>
      </c>
      <c r="N773" s="5">
        <v>43218</v>
      </c>
      <c r="O773" s="5">
        <v>0</v>
      </c>
      <c r="P773" s="5">
        <v>0</v>
      </c>
      <c r="Q773" s="5">
        <v>0</v>
      </c>
      <c r="R773" s="5">
        <v>0</v>
      </c>
      <c r="S773" s="5">
        <v>0</v>
      </c>
      <c r="T773" s="5">
        <f t="shared" si="97"/>
        <v>43218</v>
      </c>
      <c r="U773" s="5">
        <f>SUM(S773:S773)</f>
        <v>0</v>
      </c>
      <c r="V773" s="5">
        <v>0</v>
      </c>
      <c r="W773" s="5">
        <v>0</v>
      </c>
      <c r="X773" s="5">
        <v>0</v>
      </c>
      <c r="Y773" s="5">
        <v>43218</v>
      </c>
      <c r="Z773" s="5">
        <f t="shared" si="98"/>
        <v>43218</v>
      </c>
      <c r="AA773" s="20">
        <f t="shared" si="96"/>
        <v>0</v>
      </c>
    </row>
    <row r="774" spans="1:27" ht="12.75">
      <c r="A774" s="3" t="s">
        <v>1751</v>
      </c>
      <c r="B774" s="3" t="s">
        <v>3187</v>
      </c>
      <c r="C774" s="3" t="s">
        <v>3188</v>
      </c>
      <c r="D774" s="3" t="s">
        <v>201</v>
      </c>
      <c r="E774" s="3" t="s">
        <v>203</v>
      </c>
      <c r="F774" s="3" t="s">
        <v>204</v>
      </c>
      <c r="G774" s="3" t="s">
        <v>1591</v>
      </c>
      <c r="H774" s="3" t="s">
        <v>1592</v>
      </c>
      <c r="I774" s="3" t="s">
        <v>202</v>
      </c>
      <c r="J774" s="4">
        <v>0</v>
      </c>
      <c r="K774" s="4">
        <v>0.925</v>
      </c>
      <c r="L774" s="4">
        <v>0</v>
      </c>
      <c r="M774" s="4">
        <v>0</v>
      </c>
      <c r="N774" s="5">
        <v>4626</v>
      </c>
      <c r="O774" s="5">
        <v>0</v>
      </c>
      <c r="P774" s="5">
        <v>0</v>
      </c>
      <c r="Q774" s="5">
        <v>0</v>
      </c>
      <c r="R774" s="5">
        <v>0</v>
      </c>
      <c r="S774" s="5">
        <v>7600</v>
      </c>
      <c r="T774" s="5">
        <f t="shared" si="97"/>
        <v>4626</v>
      </c>
      <c r="U774" s="5">
        <f>7600+18000</f>
        <v>25600</v>
      </c>
      <c r="V774" s="5">
        <v>0</v>
      </c>
      <c r="W774" s="5">
        <v>0</v>
      </c>
      <c r="X774" s="5">
        <v>3000</v>
      </c>
      <c r="Y774" s="5">
        <v>33226</v>
      </c>
      <c r="Z774" s="5">
        <f t="shared" si="98"/>
        <v>33226</v>
      </c>
      <c r="AA774" s="20">
        <f t="shared" si="96"/>
        <v>0</v>
      </c>
    </row>
    <row r="775" spans="1:27" ht="12.75">
      <c r="A775" s="3" t="s">
        <v>1751</v>
      </c>
      <c r="B775" s="3" t="s">
        <v>3187</v>
      </c>
      <c r="C775" s="3" t="s">
        <v>3188</v>
      </c>
      <c r="D775" s="3" t="s">
        <v>205</v>
      </c>
      <c r="E775" s="3" t="s">
        <v>203</v>
      </c>
      <c r="F775" s="3" t="s">
        <v>206</v>
      </c>
      <c r="G775" s="3" t="s">
        <v>1591</v>
      </c>
      <c r="H775" s="3" t="s">
        <v>1592</v>
      </c>
      <c r="I775" s="3" t="s">
        <v>1762</v>
      </c>
      <c r="J775" s="4">
        <v>0</v>
      </c>
      <c r="K775" s="4">
        <v>0</v>
      </c>
      <c r="L775" s="4">
        <v>0</v>
      </c>
      <c r="M775" s="4">
        <v>0</v>
      </c>
      <c r="N775" s="5">
        <v>0</v>
      </c>
      <c r="O775" s="5">
        <v>0</v>
      </c>
      <c r="P775" s="5">
        <v>0</v>
      </c>
      <c r="Q775" s="5">
        <v>0</v>
      </c>
      <c r="R775" s="5">
        <v>0</v>
      </c>
      <c r="S775" s="5">
        <v>325</v>
      </c>
      <c r="T775" s="5">
        <f t="shared" si="97"/>
        <v>0</v>
      </c>
      <c r="U775" s="5">
        <f>325+881</f>
        <v>1206</v>
      </c>
      <c r="V775" s="5">
        <v>0</v>
      </c>
      <c r="W775" s="5">
        <v>0</v>
      </c>
      <c r="X775" s="5">
        <v>0</v>
      </c>
      <c r="Y775" s="5">
        <v>1206</v>
      </c>
      <c r="Z775" s="5">
        <f t="shared" si="98"/>
        <v>1206</v>
      </c>
      <c r="AA775" s="20">
        <f t="shared" si="96"/>
        <v>0</v>
      </c>
    </row>
    <row r="776" spans="1:27" ht="12.75">
      <c r="A776" s="3" t="s">
        <v>1699</v>
      </c>
      <c r="B776" s="3" t="s">
        <v>3187</v>
      </c>
      <c r="C776" s="3" t="s">
        <v>3188</v>
      </c>
      <c r="D776" s="3" t="s">
        <v>207</v>
      </c>
      <c r="E776" s="3" t="s">
        <v>203</v>
      </c>
      <c r="F776" s="3" t="s">
        <v>209</v>
      </c>
      <c r="G776" s="3" t="s">
        <v>1591</v>
      </c>
      <c r="H776" s="3" t="s">
        <v>1592</v>
      </c>
      <c r="I776" s="3" t="s">
        <v>208</v>
      </c>
      <c r="J776" s="4">
        <v>0</v>
      </c>
      <c r="K776" s="4">
        <v>0</v>
      </c>
      <c r="L776" s="4">
        <v>0</v>
      </c>
      <c r="M776" s="4">
        <v>0</v>
      </c>
      <c r="N776" s="5">
        <v>0</v>
      </c>
      <c r="O776" s="5">
        <v>0</v>
      </c>
      <c r="P776" s="5">
        <v>5000</v>
      </c>
      <c r="Q776" s="5">
        <v>0</v>
      </c>
      <c r="R776" s="5">
        <v>500</v>
      </c>
      <c r="S776" s="5">
        <v>2500</v>
      </c>
      <c r="T776" s="5">
        <f t="shared" si="97"/>
        <v>5500</v>
      </c>
      <c r="U776" s="5">
        <f>2500+30500</f>
        <v>33000</v>
      </c>
      <c r="V776" s="5">
        <v>0</v>
      </c>
      <c r="W776" s="5">
        <v>0</v>
      </c>
      <c r="X776" s="5">
        <v>10000</v>
      </c>
      <c r="Y776" s="5">
        <v>48500</v>
      </c>
      <c r="Z776" s="5">
        <f t="shared" si="98"/>
        <v>48500</v>
      </c>
      <c r="AA776" s="20">
        <f t="shared" si="96"/>
        <v>0</v>
      </c>
    </row>
    <row r="777" spans="1:27" ht="12.75">
      <c r="A777" s="3" t="s">
        <v>1751</v>
      </c>
      <c r="B777" s="3" t="s">
        <v>3187</v>
      </c>
      <c r="C777" s="3" t="s">
        <v>3188</v>
      </c>
      <c r="D777" s="3" t="s">
        <v>210</v>
      </c>
      <c r="E777" s="3" t="s">
        <v>203</v>
      </c>
      <c r="F777" s="3" t="s">
        <v>211</v>
      </c>
      <c r="G777" s="3" t="s">
        <v>1591</v>
      </c>
      <c r="H777" s="3" t="s">
        <v>1592</v>
      </c>
      <c r="I777" s="3" t="s">
        <v>1771</v>
      </c>
      <c r="J777" s="4">
        <v>0</v>
      </c>
      <c r="K777" s="4">
        <v>0.075</v>
      </c>
      <c r="L777" s="4">
        <v>0</v>
      </c>
      <c r="M777" s="4">
        <v>0</v>
      </c>
      <c r="N777" s="5">
        <v>374</v>
      </c>
      <c r="O777" s="5">
        <v>0</v>
      </c>
      <c r="P777" s="5">
        <v>0</v>
      </c>
      <c r="Q777" s="5">
        <v>0</v>
      </c>
      <c r="R777" s="5">
        <v>0</v>
      </c>
      <c r="S777" s="5">
        <v>0</v>
      </c>
      <c r="T777" s="5">
        <f t="shared" si="97"/>
        <v>374</v>
      </c>
      <c r="U777" s="5">
        <v>7000</v>
      </c>
      <c r="V777" s="5">
        <v>0</v>
      </c>
      <c r="W777" s="5">
        <v>0</v>
      </c>
      <c r="X777" s="5">
        <v>0</v>
      </c>
      <c r="Y777" s="5">
        <v>7374</v>
      </c>
      <c r="Z777" s="5">
        <f t="shared" si="98"/>
        <v>7374</v>
      </c>
      <c r="AA777" s="20">
        <f t="shared" si="96"/>
        <v>0</v>
      </c>
    </row>
    <row r="778" spans="1:27" ht="12.75">
      <c r="A778" s="3" t="s">
        <v>1908</v>
      </c>
      <c r="B778" s="3" t="s">
        <v>3187</v>
      </c>
      <c r="C778" s="3" t="s">
        <v>3188</v>
      </c>
      <c r="D778" s="3" t="s">
        <v>212</v>
      </c>
      <c r="E778" s="3" t="s">
        <v>203</v>
      </c>
      <c r="F778" s="3" t="s">
        <v>214</v>
      </c>
      <c r="G778" s="3" t="s">
        <v>1591</v>
      </c>
      <c r="H778" s="3" t="s">
        <v>1592</v>
      </c>
      <c r="I778" s="3" t="s">
        <v>213</v>
      </c>
      <c r="J778" s="4">
        <v>0</v>
      </c>
      <c r="K778" s="4">
        <v>0</v>
      </c>
      <c r="L778" s="4">
        <v>1</v>
      </c>
      <c r="M778" s="4">
        <v>0</v>
      </c>
      <c r="N778" s="5">
        <v>40740</v>
      </c>
      <c r="O778" s="5">
        <v>0</v>
      </c>
      <c r="P778" s="5">
        <v>10968</v>
      </c>
      <c r="Q778" s="5">
        <v>0</v>
      </c>
      <c r="R778" s="5">
        <v>153</v>
      </c>
      <c r="S778" s="5">
        <v>0</v>
      </c>
      <c r="T778" s="5">
        <f t="shared" si="97"/>
        <v>51861</v>
      </c>
      <c r="U778" s="5">
        <v>4650</v>
      </c>
      <c r="V778" s="5">
        <v>0</v>
      </c>
      <c r="W778" s="5">
        <v>0</v>
      </c>
      <c r="X778" s="5">
        <v>251</v>
      </c>
      <c r="Y778" s="5">
        <v>56762</v>
      </c>
      <c r="Z778" s="5">
        <f t="shared" si="98"/>
        <v>56762</v>
      </c>
      <c r="AA778" s="20">
        <f t="shared" si="96"/>
        <v>0</v>
      </c>
    </row>
    <row r="779" spans="1:27" ht="12.75">
      <c r="A779" s="3" t="s">
        <v>1751</v>
      </c>
      <c r="B779" s="3" t="s">
        <v>3187</v>
      </c>
      <c r="C779" s="3" t="s">
        <v>3188</v>
      </c>
      <c r="D779" s="3" t="s">
        <v>215</v>
      </c>
      <c r="E779" s="3" t="s">
        <v>203</v>
      </c>
      <c r="F779" s="3" t="s">
        <v>216</v>
      </c>
      <c r="G779" s="3" t="s">
        <v>1591</v>
      </c>
      <c r="H779" s="3" t="s">
        <v>1592</v>
      </c>
      <c r="I779" s="3" t="s">
        <v>1774</v>
      </c>
      <c r="J779" s="4">
        <v>0</v>
      </c>
      <c r="K779" s="4">
        <v>0</v>
      </c>
      <c r="L779" s="4">
        <v>0</v>
      </c>
      <c r="M779" s="4">
        <v>0</v>
      </c>
      <c r="N779" s="5">
        <v>0</v>
      </c>
      <c r="O779" s="5">
        <v>0</v>
      </c>
      <c r="P779" s="5">
        <v>0</v>
      </c>
      <c r="Q779" s="5">
        <v>0</v>
      </c>
      <c r="R779" s="5">
        <v>0</v>
      </c>
      <c r="S779" s="5">
        <v>0</v>
      </c>
      <c r="T779" s="5">
        <f t="shared" si="97"/>
        <v>0</v>
      </c>
      <c r="U779" s="5">
        <v>10000</v>
      </c>
      <c r="V779" s="5">
        <v>0</v>
      </c>
      <c r="W779" s="5">
        <v>0</v>
      </c>
      <c r="X779" s="5">
        <v>0</v>
      </c>
      <c r="Y779" s="5">
        <v>10000</v>
      </c>
      <c r="Z779" s="5">
        <f t="shared" si="98"/>
        <v>10000</v>
      </c>
      <c r="AA779" s="20">
        <f t="shared" si="96"/>
        <v>0</v>
      </c>
    </row>
    <row r="780" spans="1:27" ht="12.75">
      <c r="A780" s="3" t="s">
        <v>1908</v>
      </c>
      <c r="B780" s="3" t="s">
        <v>3187</v>
      </c>
      <c r="C780" s="3" t="s">
        <v>3188</v>
      </c>
      <c r="D780" s="3" t="s">
        <v>217</v>
      </c>
      <c r="E780" s="3" t="s">
        <v>203</v>
      </c>
      <c r="F780" s="3" t="s">
        <v>219</v>
      </c>
      <c r="G780" s="3" t="s">
        <v>1591</v>
      </c>
      <c r="H780" s="3" t="s">
        <v>1592</v>
      </c>
      <c r="I780" s="3" t="s">
        <v>218</v>
      </c>
      <c r="J780" s="4">
        <v>0</v>
      </c>
      <c r="K780" s="4">
        <v>0</v>
      </c>
      <c r="L780" s="4">
        <v>0</v>
      </c>
      <c r="M780" s="4">
        <v>0</v>
      </c>
      <c r="N780" s="5">
        <v>0</v>
      </c>
      <c r="O780" s="5">
        <v>0</v>
      </c>
      <c r="P780" s="5">
        <v>7000</v>
      </c>
      <c r="Q780" s="5">
        <v>0</v>
      </c>
      <c r="R780" s="5">
        <v>1045</v>
      </c>
      <c r="S780" s="5">
        <v>0</v>
      </c>
      <c r="T780" s="5">
        <f t="shared" si="97"/>
        <v>8045</v>
      </c>
      <c r="U780" s="5">
        <v>16000</v>
      </c>
      <c r="V780" s="5">
        <v>0</v>
      </c>
      <c r="W780" s="5">
        <v>0</v>
      </c>
      <c r="X780" s="5">
        <v>1000</v>
      </c>
      <c r="Y780" s="5">
        <v>25045</v>
      </c>
      <c r="Z780" s="5">
        <f t="shared" si="98"/>
        <v>25045</v>
      </c>
      <c r="AA780" s="20">
        <f t="shared" si="96"/>
        <v>0</v>
      </c>
    </row>
    <row r="781" spans="1:27" ht="12.75">
      <c r="A781" s="3" t="s">
        <v>1751</v>
      </c>
      <c r="B781" s="3" t="s">
        <v>3187</v>
      </c>
      <c r="C781" s="3" t="s">
        <v>3188</v>
      </c>
      <c r="D781" s="3" t="s">
        <v>220</v>
      </c>
      <c r="E781" s="3" t="s">
        <v>203</v>
      </c>
      <c r="F781" s="3" t="s">
        <v>221</v>
      </c>
      <c r="G781" s="3" t="s">
        <v>1591</v>
      </c>
      <c r="H781" s="3" t="s">
        <v>1592</v>
      </c>
      <c r="I781" s="3" t="s">
        <v>1780</v>
      </c>
      <c r="J781" s="4">
        <v>0</v>
      </c>
      <c r="K781" s="4">
        <v>0</v>
      </c>
      <c r="L781" s="4">
        <v>0</v>
      </c>
      <c r="M781" s="4">
        <v>0</v>
      </c>
      <c r="N781" s="5">
        <v>0</v>
      </c>
      <c r="O781" s="5">
        <v>0</v>
      </c>
      <c r="P781" s="5">
        <v>0</v>
      </c>
      <c r="Q781" s="5">
        <v>0</v>
      </c>
      <c r="R781" s="5">
        <v>0</v>
      </c>
      <c r="S781" s="5">
        <v>0</v>
      </c>
      <c r="T781" s="5">
        <f t="shared" si="97"/>
        <v>0</v>
      </c>
      <c r="U781" s="5">
        <v>3000</v>
      </c>
      <c r="V781" s="5">
        <v>0</v>
      </c>
      <c r="W781" s="5">
        <v>0</v>
      </c>
      <c r="X781" s="5">
        <v>0</v>
      </c>
      <c r="Y781" s="5">
        <v>3000</v>
      </c>
      <c r="Z781" s="5">
        <f t="shared" si="98"/>
        <v>3000</v>
      </c>
      <c r="AA781" s="20">
        <f t="shared" si="96"/>
        <v>0</v>
      </c>
    </row>
    <row r="782" spans="1:27" ht="12.75">
      <c r="A782" s="3" t="s">
        <v>1871</v>
      </c>
      <c r="B782" s="3" t="s">
        <v>3187</v>
      </c>
      <c r="C782" s="3" t="s">
        <v>3188</v>
      </c>
      <c r="D782" s="3" t="s">
        <v>222</v>
      </c>
      <c r="E782" s="3" t="s">
        <v>203</v>
      </c>
      <c r="F782" s="3" t="s">
        <v>224</v>
      </c>
      <c r="G782" s="3" t="s">
        <v>1591</v>
      </c>
      <c r="H782" s="3" t="s">
        <v>1592</v>
      </c>
      <c r="I782" s="3" t="s">
        <v>623</v>
      </c>
      <c r="J782" s="4">
        <v>0</v>
      </c>
      <c r="K782" s="4">
        <v>0</v>
      </c>
      <c r="L782" s="4">
        <v>0</v>
      </c>
      <c r="M782" s="4">
        <v>0</v>
      </c>
      <c r="N782" s="5">
        <v>0</v>
      </c>
      <c r="O782" s="5">
        <v>0</v>
      </c>
      <c r="P782" s="5">
        <v>0</v>
      </c>
      <c r="Q782" s="5">
        <v>0</v>
      </c>
      <c r="R782" s="5">
        <v>0</v>
      </c>
      <c r="S782" s="5">
        <v>0</v>
      </c>
      <c r="T782" s="5">
        <f t="shared" si="97"/>
        <v>0</v>
      </c>
      <c r="U782" s="5">
        <v>1000</v>
      </c>
      <c r="V782" s="5">
        <v>0</v>
      </c>
      <c r="W782" s="5">
        <v>0</v>
      </c>
      <c r="X782" s="5">
        <v>700</v>
      </c>
      <c r="Y782" s="5">
        <v>1700</v>
      </c>
      <c r="Z782" s="5">
        <f t="shared" si="98"/>
        <v>1700</v>
      </c>
      <c r="AA782" s="20">
        <f t="shared" si="96"/>
        <v>0</v>
      </c>
    </row>
    <row r="783" spans="1:27" ht="12.75">
      <c r="A783" s="3" t="s">
        <v>1871</v>
      </c>
      <c r="B783" s="3" t="s">
        <v>3187</v>
      </c>
      <c r="C783" s="3" t="s">
        <v>3188</v>
      </c>
      <c r="D783" s="3" t="s">
        <v>225</v>
      </c>
      <c r="E783" s="3" t="s">
        <v>203</v>
      </c>
      <c r="F783" s="3" t="s">
        <v>227</v>
      </c>
      <c r="G783" s="3" t="s">
        <v>1591</v>
      </c>
      <c r="H783" s="3" t="s">
        <v>1592</v>
      </c>
      <c r="I783" s="3" t="s">
        <v>226</v>
      </c>
      <c r="J783" s="4">
        <v>0</v>
      </c>
      <c r="K783" s="4">
        <v>0</v>
      </c>
      <c r="L783" s="4">
        <v>0</v>
      </c>
      <c r="M783" s="4">
        <v>0</v>
      </c>
      <c r="N783" s="5">
        <v>0</v>
      </c>
      <c r="O783" s="5">
        <v>0</v>
      </c>
      <c r="P783" s="5">
        <v>1000</v>
      </c>
      <c r="Q783" s="5">
        <v>0</v>
      </c>
      <c r="R783" s="5">
        <v>0</v>
      </c>
      <c r="S783" s="5">
        <v>0</v>
      </c>
      <c r="T783" s="5">
        <f t="shared" si="97"/>
        <v>1000</v>
      </c>
      <c r="U783" s="5">
        <v>7300</v>
      </c>
      <c r="V783" s="5">
        <v>0</v>
      </c>
      <c r="W783" s="5">
        <v>0</v>
      </c>
      <c r="X783" s="5">
        <v>500</v>
      </c>
      <c r="Y783" s="5">
        <v>8800</v>
      </c>
      <c r="Z783" s="5">
        <f t="shared" si="98"/>
        <v>8800</v>
      </c>
      <c r="AA783" s="20">
        <f t="shared" si="96"/>
        <v>0</v>
      </c>
    </row>
    <row r="784" spans="1:27" ht="12.75">
      <c r="A784" s="3" t="s">
        <v>1871</v>
      </c>
      <c r="B784" s="3" t="s">
        <v>3187</v>
      </c>
      <c r="C784" s="3" t="s">
        <v>3188</v>
      </c>
      <c r="D784" s="3" t="s">
        <v>228</v>
      </c>
      <c r="E784" s="3" t="s">
        <v>203</v>
      </c>
      <c r="F784" s="3" t="s">
        <v>230</v>
      </c>
      <c r="G784" s="3" t="s">
        <v>1591</v>
      </c>
      <c r="H784" s="3" t="s">
        <v>1592</v>
      </c>
      <c r="I784" s="3" t="s">
        <v>229</v>
      </c>
      <c r="J784" s="4">
        <v>0</v>
      </c>
      <c r="K784" s="4">
        <v>0</v>
      </c>
      <c r="L784" s="4">
        <v>0</v>
      </c>
      <c r="M784" s="4">
        <v>0</v>
      </c>
      <c r="N784" s="5">
        <v>0</v>
      </c>
      <c r="O784" s="5">
        <v>0</v>
      </c>
      <c r="P784" s="5">
        <v>2000</v>
      </c>
      <c r="Q784" s="5">
        <v>0</v>
      </c>
      <c r="R784" s="5">
        <v>750</v>
      </c>
      <c r="S784" s="5">
        <v>0</v>
      </c>
      <c r="T784" s="5">
        <f t="shared" si="97"/>
        <v>2750</v>
      </c>
      <c r="U784" s="5">
        <v>2000</v>
      </c>
      <c r="V784" s="5">
        <v>0</v>
      </c>
      <c r="W784" s="5">
        <v>0</v>
      </c>
      <c r="X784" s="5">
        <v>2000</v>
      </c>
      <c r="Y784" s="5">
        <v>6750</v>
      </c>
      <c r="Z784" s="5">
        <f t="shared" si="98"/>
        <v>6750</v>
      </c>
      <c r="AA784" s="20">
        <f t="shared" si="96"/>
        <v>0</v>
      </c>
    </row>
    <row r="785" spans="1:27" ht="12.75">
      <c r="A785" s="3" t="s">
        <v>1871</v>
      </c>
      <c r="B785" s="3" t="s">
        <v>3187</v>
      </c>
      <c r="C785" s="3" t="s">
        <v>3188</v>
      </c>
      <c r="D785" s="3" t="s">
        <v>231</v>
      </c>
      <c r="E785" s="3" t="s">
        <v>203</v>
      </c>
      <c r="F785" s="3" t="s">
        <v>233</v>
      </c>
      <c r="G785" s="3" t="s">
        <v>1591</v>
      </c>
      <c r="H785" s="3" t="s">
        <v>1592</v>
      </c>
      <c r="I785" s="3" t="s">
        <v>624</v>
      </c>
      <c r="J785" s="4">
        <v>0</v>
      </c>
      <c r="K785" s="4">
        <v>0</v>
      </c>
      <c r="L785" s="4">
        <v>0</v>
      </c>
      <c r="M785" s="4">
        <v>0</v>
      </c>
      <c r="N785" s="5">
        <v>0</v>
      </c>
      <c r="O785" s="5">
        <v>0</v>
      </c>
      <c r="P785" s="5">
        <v>0</v>
      </c>
      <c r="Q785" s="5">
        <v>0</v>
      </c>
      <c r="R785" s="5">
        <v>0</v>
      </c>
      <c r="S785" s="5">
        <v>0</v>
      </c>
      <c r="T785" s="5">
        <f t="shared" si="97"/>
        <v>0</v>
      </c>
      <c r="U785" s="5">
        <v>600</v>
      </c>
      <c r="V785" s="5">
        <v>0</v>
      </c>
      <c r="W785" s="5">
        <v>0</v>
      </c>
      <c r="X785" s="5">
        <v>200</v>
      </c>
      <c r="Y785" s="5">
        <v>800</v>
      </c>
      <c r="Z785" s="5">
        <f t="shared" si="98"/>
        <v>800</v>
      </c>
      <c r="AA785" s="20">
        <f t="shared" si="96"/>
        <v>0</v>
      </c>
    </row>
    <row r="786" spans="1:27" ht="12.75">
      <c r="A786" s="3" t="s">
        <v>1908</v>
      </c>
      <c r="B786" s="3" t="s">
        <v>3187</v>
      </c>
      <c r="C786" s="3" t="s">
        <v>3188</v>
      </c>
      <c r="D786" s="3" t="s">
        <v>234</v>
      </c>
      <c r="E786" s="3" t="s">
        <v>203</v>
      </c>
      <c r="F786" s="3" t="s">
        <v>236</v>
      </c>
      <c r="G786" s="3" t="s">
        <v>1591</v>
      </c>
      <c r="H786" s="3" t="s">
        <v>1592</v>
      </c>
      <c r="I786" s="3" t="s">
        <v>235</v>
      </c>
      <c r="J786" s="4">
        <v>0</v>
      </c>
      <c r="K786" s="4">
        <v>0</v>
      </c>
      <c r="L786" s="4">
        <v>0</v>
      </c>
      <c r="M786" s="4">
        <v>0</v>
      </c>
      <c r="N786" s="5">
        <v>0</v>
      </c>
      <c r="O786" s="5">
        <v>0</v>
      </c>
      <c r="P786" s="5">
        <v>5751</v>
      </c>
      <c r="Q786" s="5">
        <v>0</v>
      </c>
      <c r="R786" s="5">
        <v>1933</v>
      </c>
      <c r="S786" s="5">
        <v>0</v>
      </c>
      <c r="T786" s="5">
        <f t="shared" si="97"/>
        <v>7684</v>
      </c>
      <c r="U786" s="5">
        <v>6329</v>
      </c>
      <c r="V786" s="5">
        <v>0</v>
      </c>
      <c r="W786" s="5">
        <v>0</v>
      </c>
      <c r="X786" s="5">
        <v>774</v>
      </c>
      <c r="Y786" s="5">
        <v>14787</v>
      </c>
      <c r="Z786" s="5">
        <f t="shared" si="98"/>
        <v>14787</v>
      </c>
      <c r="AA786" s="20">
        <f t="shared" si="96"/>
        <v>0</v>
      </c>
    </row>
    <row r="787" spans="1:27" ht="12.75">
      <c r="A787" s="3" t="s">
        <v>1751</v>
      </c>
      <c r="B787" s="3" t="s">
        <v>3187</v>
      </c>
      <c r="C787" s="3" t="s">
        <v>3188</v>
      </c>
      <c r="D787" s="3" t="s">
        <v>237</v>
      </c>
      <c r="E787" s="3" t="s">
        <v>203</v>
      </c>
      <c r="F787" s="3" t="s">
        <v>239</v>
      </c>
      <c r="G787" s="3" t="s">
        <v>1591</v>
      </c>
      <c r="H787" s="3" t="s">
        <v>1592</v>
      </c>
      <c r="I787" s="3" t="s">
        <v>238</v>
      </c>
      <c r="J787" s="4">
        <v>0</v>
      </c>
      <c r="K787" s="4">
        <v>0</v>
      </c>
      <c r="L787" s="4">
        <v>0</v>
      </c>
      <c r="M787" s="4">
        <v>0</v>
      </c>
      <c r="N787" s="5">
        <v>0</v>
      </c>
      <c r="O787" s="5">
        <v>0</v>
      </c>
      <c r="P787" s="5">
        <v>0</v>
      </c>
      <c r="Q787" s="5">
        <v>0</v>
      </c>
      <c r="R787" s="5">
        <v>0</v>
      </c>
      <c r="S787" s="5">
        <v>0</v>
      </c>
      <c r="T787" s="5">
        <f t="shared" si="97"/>
        <v>0</v>
      </c>
      <c r="U787" s="5">
        <v>3700</v>
      </c>
      <c r="V787" s="5">
        <v>0</v>
      </c>
      <c r="W787" s="5">
        <v>0</v>
      </c>
      <c r="X787" s="5">
        <v>0</v>
      </c>
      <c r="Y787" s="5">
        <v>3700</v>
      </c>
      <c r="Z787" s="5">
        <f t="shared" si="98"/>
        <v>3700</v>
      </c>
      <c r="AA787" s="20">
        <f t="shared" si="96"/>
        <v>0</v>
      </c>
    </row>
    <row r="788" spans="1:27" ht="12.75">
      <c r="A788" s="3" t="s">
        <v>1751</v>
      </c>
      <c r="B788" s="3" t="s">
        <v>3187</v>
      </c>
      <c r="C788" s="3" t="s">
        <v>3188</v>
      </c>
      <c r="D788" s="3" t="s">
        <v>240</v>
      </c>
      <c r="E788" s="3" t="s">
        <v>203</v>
      </c>
      <c r="F788" s="3" t="s">
        <v>242</v>
      </c>
      <c r="G788" s="3" t="s">
        <v>1591</v>
      </c>
      <c r="H788" s="3" t="s">
        <v>1592</v>
      </c>
      <c r="I788" s="3" t="s">
        <v>241</v>
      </c>
      <c r="J788" s="4">
        <v>0</v>
      </c>
      <c r="K788" s="4">
        <v>0</v>
      </c>
      <c r="L788" s="4">
        <v>0.325</v>
      </c>
      <c r="M788" s="4">
        <v>0</v>
      </c>
      <c r="N788" s="5">
        <v>6828</v>
      </c>
      <c r="O788" s="5">
        <v>0</v>
      </c>
      <c r="P788" s="5">
        <v>0</v>
      </c>
      <c r="Q788" s="5">
        <v>0</v>
      </c>
      <c r="R788" s="5">
        <v>0</v>
      </c>
      <c r="S788" s="5">
        <v>0</v>
      </c>
      <c r="T788" s="5">
        <f t="shared" si="97"/>
        <v>6828</v>
      </c>
      <c r="U788" s="5">
        <v>12000</v>
      </c>
      <c r="V788" s="5">
        <v>0</v>
      </c>
      <c r="W788" s="5">
        <v>0</v>
      </c>
      <c r="X788" s="5">
        <v>0</v>
      </c>
      <c r="Y788" s="5">
        <v>18828</v>
      </c>
      <c r="Z788" s="5">
        <f t="shared" si="98"/>
        <v>18828</v>
      </c>
      <c r="AA788" s="20">
        <f aca="true" t="shared" si="99" ref="AA788:AA851">+Y788-Z788</f>
        <v>0</v>
      </c>
    </row>
    <row r="789" spans="1:27" ht="12.75">
      <c r="A789" s="3" t="s">
        <v>1936</v>
      </c>
      <c r="B789" s="3" t="s">
        <v>3187</v>
      </c>
      <c r="C789" s="3" t="s">
        <v>3188</v>
      </c>
      <c r="D789" s="3" t="s">
        <v>243</v>
      </c>
      <c r="E789" s="3" t="s">
        <v>203</v>
      </c>
      <c r="F789" s="3" t="s">
        <v>245</v>
      </c>
      <c r="G789" s="3" t="s">
        <v>1591</v>
      </c>
      <c r="H789" s="3" t="s">
        <v>1592</v>
      </c>
      <c r="I789" s="3" t="s">
        <v>244</v>
      </c>
      <c r="J789" s="4">
        <v>0</v>
      </c>
      <c r="K789" s="4">
        <v>0</v>
      </c>
      <c r="L789" s="4">
        <v>0</v>
      </c>
      <c r="M789" s="4">
        <v>0</v>
      </c>
      <c r="N789" s="5">
        <v>0</v>
      </c>
      <c r="O789" s="5">
        <v>0</v>
      </c>
      <c r="P789" s="5">
        <v>500</v>
      </c>
      <c r="Q789" s="5">
        <v>0</v>
      </c>
      <c r="R789" s="5">
        <v>0</v>
      </c>
      <c r="S789" s="5">
        <v>2500</v>
      </c>
      <c r="T789" s="5">
        <f t="shared" si="97"/>
        <v>500</v>
      </c>
      <c r="U789" s="5">
        <f>2700+2500</f>
        <v>5200</v>
      </c>
      <c r="V789" s="5">
        <v>0</v>
      </c>
      <c r="W789" s="5">
        <v>0</v>
      </c>
      <c r="X789" s="5">
        <v>0</v>
      </c>
      <c r="Y789" s="5">
        <v>5700</v>
      </c>
      <c r="Z789" s="5">
        <f t="shared" si="98"/>
        <v>5700</v>
      </c>
      <c r="AA789" s="20">
        <f t="shared" si="99"/>
        <v>0</v>
      </c>
    </row>
    <row r="790" spans="1:27" ht="12.75">
      <c r="A790" s="3" t="s">
        <v>1936</v>
      </c>
      <c r="B790" s="3" t="s">
        <v>3187</v>
      </c>
      <c r="C790" s="3" t="s">
        <v>3188</v>
      </c>
      <c r="D790" s="3" t="s">
        <v>246</v>
      </c>
      <c r="E790" s="3" t="s">
        <v>203</v>
      </c>
      <c r="F790" s="3" t="s">
        <v>248</v>
      </c>
      <c r="G790" s="3" t="s">
        <v>1591</v>
      </c>
      <c r="H790" s="3" t="s">
        <v>1592</v>
      </c>
      <c r="I790" s="3" t="s">
        <v>247</v>
      </c>
      <c r="J790" s="4">
        <v>0</v>
      </c>
      <c r="K790" s="4">
        <v>0</v>
      </c>
      <c r="L790" s="4">
        <v>0</v>
      </c>
      <c r="M790" s="4">
        <v>0</v>
      </c>
      <c r="N790" s="5">
        <v>0</v>
      </c>
      <c r="O790" s="5">
        <v>0</v>
      </c>
      <c r="P790" s="5">
        <v>0</v>
      </c>
      <c r="Q790" s="5">
        <v>0</v>
      </c>
      <c r="R790" s="5">
        <v>0</v>
      </c>
      <c r="S790" s="5">
        <v>2400</v>
      </c>
      <c r="T790" s="5">
        <f aca="true" t="shared" si="100" ref="T790:T853">SUM(N790:R790)</f>
        <v>0</v>
      </c>
      <c r="U790" s="5">
        <f>SUM(S790:S790)</f>
        <v>2400</v>
      </c>
      <c r="V790" s="5">
        <v>0</v>
      </c>
      <c r="W790" s="5">
        <v>0</v>
      </c>
      <c r="X790" s="5">
        <v>0</v>
      </c>
      <c r="Y790" s="5">
        <v>2400</v>
      </c>
      <c r="Z790" s="5">
        <f aca="true" t="shared" si="101" ref="Z790:Z853">SUM(T790:X790)</f>
        <v>2400</v>
      </c>
      <c r="AA790" s="20">
        <f t="shared" si="99"/>
        <v>0</v>
      </c>
    </row>
    <row r="791" spans="1:27" ht="12.75">
      <c r="A791" s="3" t="s">
        <v>1842</v>
      </c>
      <c r="B791" s="3" t="s">
        <v>3187</v>
      </c>
      <c r="C791" s="3" t="s">
        <v>3188</v>
      </c>
      <c r="D791" s="3" t="s">
        <v>249</v>
      </c>
      <c r="E791" s="3" t="s">
        <v>203</v>
      </c>
      <c r="F791" s="3" t="s">
        <v>251</v>
      </c>
      <c r="G791" s="3" t="s">
        <v>1591</v>
      </c>
      <c r="H791" s="3" t="s">
        <v>1592</v>
      </c>
      <c r="I791" s="3" t="s">
        <v>625</v>
      </c>
      <c r="J791" s="4">
        <v>0</v>
      </c>
      <c r="K791" s="4">
        <v>0</v>
      </c>
      <c r="L791" s="4">
        <v>0</v>
      </c>
      <c r="M791" s="4">
        <v>0</v>
      </c>
      <c r="N791" s="5">
        <v>0</v>
      </c>
      <c r="O791" s="5">
        <v>0</v>
      </c>
      <c r="P791" s="5">
        <v>0</v>
      </c>
      <c r="Q791" s="5">
        <v>0</v>
      </c>
      <c r="R791" s="5">
        <v>0</v>
      </c>
      <c r="S791" s="5">
        <v>0</v>
      </c>
      <c r="T791" s="5">
        <f t="shared" si="100"/>
        <v>0</v>
      </c>
      <c r="U791" s="5">
        <v>1791</v>
      </c>
      <c r="V791" s="5">
        <v>0</v>
      </c>
      <c r="W791" s="5">
        <v>0</v>
      </c>
      <c r="X791" s="5">
        <v>0</v>
      </c>
      <c r="Y791" s="5">
        <v>1791</v>
      </c>
      <c r="Z791" s="5">
        <f t="shared" si="101"/>
        <v>1791</v>
      </c>
      <c r="AA791" s="20">
        <f t="shared" si="99"/>
        <v>0</v>
      </c>
    </row>
    <row r="792" spans="1:27" ht="12.75">
      <c r="A792" s="3" t="s">
        <v>1936</v>
      </c>
      <c r="B792" s="3" t="s">
        <v>3187</v>
      </c>
      <c r="C792" s="3" t="s">
        <v>3188</v>
      </c>
      <c r="D792" s="3" t="s">
        <v>252</v>
      </c>
      <c r="E792" s="3" t="s">
        <v>203</v>
      </c>
      <c r="F792" s="3" t="s">
        <v>254</v>
      </c>
      <c r="G792" s="3" t="s">
        <v>1591</v>
      </c>
      <c r="H792" s="3" t="s">
        <v>1592</v>
      </c>
      <c r="I792" s="3" t="s">
        <v>253</v>
      </c>
      <c r="J792" s="4">
        <v>0</v>
      </c>
      <c r="K792" s="4">
        <v>0</v>
      </c>
      <c r="L792" s="4">
        <v>0</v>
      </c>
      <c r="M792" s="4">
        <v>0</v>
      </c>
      <c r="N792" s="5">
        <v>0</v>
      </c>
      <c r="O792" s="5">
        <v>0</v>
      </c>
      <c r="P792" s="5">
        <v>0</v>
      </c>
      <c r="Q792" s="5">
        <v>6047</v>
      </c>
      <c r="R792" s="5">
        <v>0</v>
      </c>
      <c r="S792" s="5">
        <v>0</v>
      </c>
      <c r="T792" s="5">
        <f t="shared" si="100"/>
        <v>6047</v>
      </c>
      <c r="U792" s="5">
        <f>SUM(S792:S792)</f>
        <v>0</v>
      </c>
      <c r="V792" s="5">
        <v>2920</v>
      </c>
      <c r="W792" s="5">
        <v>0</v>
      </c>
      <c r="X792" s="5">
        <v>0</v>
      </c>
      <c r="Y792" s="5">
        <v>8967</v>
      </c>
      <c r="Z792" s="5">
        <f t="shared" si="101"/>
        <v>8967</v>
      </c>
      <c r="AA792" s="20">
        <f t="shared" si="99"/>
        <v>0</v>
      </c>
    </row>
    <row r="793" spans="1:27" ht="12.75">
      <c r="A793" s="3" t="s">
        <v>1908</v>
      </c>
      <c r="B793" s="3" t="s">
        <v>3187</v>
      </c>
      <c r="C793" s="3" t="s">
        <v>3188</v>
      </c>
      <c r="D793" s="3" t="s">
        <v>255</v>
      </c>
      <c r="E793" s="3" t="s">
        <v>203</v>
      </c>
      <c r="F793" s="3" t="s">
        <v>256</v>
      </c>
      <c r="G793" s="3" t="s">
        <v>1591</v>
      </c>
      <c r="H793" s="3" t="s">
        <v>1592</v>
      </c>
      <c r="I793" s="3" t="s">
        <v>1934</v>
      </c>
      <c r="J793" s="4">
        <v>0</v>
      </c>
      <c r="K793" s="4">
        <v>0</v>
      </c>
      <c r="L793" s="4">
        <v>0</v>
      </c>
      <c r="M793" s="4">
        <v>0</v>
      </c>
      <c r="N793" s="5">
        <v>0</v>
      </c>
      <c r="O793" s="5">
        <v>0</v>
      </c>
      <c r="P793" s="5">
        <v>7475</v>
      </c>
      <c r="Q793" s="5">
        <v>0</v>
      </c>
      <c r="R793" s="5">
        <v>624</v>
      </c>
      <c r="S793" s="5">
        <v>0</v>
      </c>
      <c r="T793" s="5">
        <f t="shared" si="100"/>
        <v>8099</v>
      </c>
      <c r="U793" s="5">
        <v>7590</v>
      </c>
      <c r="V793" s="5">
        <v>0</v>
      </c>
      <c r="W793" s="5">
        <v>0</v>
      </c>
      <c r="X793" s="5">
        <v>230</v>
      </c>
      <c r="Y793" s="5">
        <v>15919</v>
      </c>
      <c r="Z793" s="5">
        <f t="shared" si="101"/>
        <v>15919</v>
      </c>
      <c r="AA793" s="20">
        <f t="shared" si="99"/>
        <v>0</v>
      </c>
    </row>
    <row r="794" spans="1:27" ht="12.75">
      <c r="A794" s="3" t="s">
        <v>1936</v>
      </c>
      <c r="B794" s="3" t="s">
        <v>3187</v>
      </c>
      <c r="C794" s="3" t="s">
        <v>3188</v>
      </c>
      <c r="D794" s="3" t="s">
        <v>257</v>
      </c>
      <c r="E794" s="3" t="s">
        <v>203</v>
      </c>
      <c r="F794" s="3" t="s">
        <v>258</v>
      </c>
      <c r="G794" s="3" t="s">
        <v>1591</v>
      </c>
      <c r="H794" s="3" t="s">
        <v>1592</v>
      </c>
      <c r="I794" s="3" t="s">
        <v>1947</v>
      </c>
      <c r="J794" s="4">
        <v>0</v>
      </c>
      <c r="K794" s="4">
        <v>0</v>
      </c>
      <c r="L794" s="4">
        <v>0</v>
      </c>
      <c r="M794" s="4">
        <v>0</v>
      </c>
      <c r="N794" s="5">
        <v>0</v>
      </c>
      <c r="O794" s="5">
        <v>0</v>
      </c>
      <c r="P794" s="5">
        <v>0</v>
      </c>
      <c r="Q794" s="5">
        <v>0</v>
      </c>
      <c r="R794" s="5">
        <v>0</v>
      </c>
      <c r="S794" s="5">
        <v>0</v>
      </c>
      <c r="T794" s="5">
        <f t="shared" si="100"/>
        <v>0</v>
      </c>
      <c r="U794" s="5">
        <v>1000</v>
      </c>
      <c r="V794" s="5">
        <v>0</v>
      </c>
      <c r="W794" s="5">
        <v>0</v>
      </c>
      <c r="X794" s="5">
        <v>3000</v>
      </c>
      <c r="Y794" s="5">
        <v>4000</v>
      </c>
      <c r="Z794" s="5">
        <f t="shared" si="101"/>
        <v>4000</v>
      </c>
      <c r="AA794" s="20">
        <f t="shared" si="99"/>
        <v>0</v>
      </c>
    </row>
    <row r="795" spans="1:27" ht="12.75">
      <c r="A795" s="3" t="s">
        <v>1936</v>
      </c>
      <c r="B795" s="3" t="s">
        <v>3187</v>
      </c>
      <c r="C795" s="3" t="s">
        <v>3188</v>
      </c>
      <c r="D795" s="3" t="s">
        <v>259</v>
      </c>
      <c r="E795" s="3" t="s">
        <v>203</v>
      </c>
      <c r="F795" s="3" t="s">
        <v>260</v>
      </c>
      <c r="G795" s="3" t="s">
        <v>1591</v>
      </c>
      <c r="H795" s="3" t="s">
        <v>1592</v>
      </c>
      <c r="I795" s="3" t="s">
        <v>1959</v>
      </c>
      <c r="J795" s="4">
        <v>0</v>
      </c>
      <c r="K795" s="4">
        <v>0</v>
      </c>
      <c r="L795" s="4">
        <v>0</v>
      </c>
      <c r="M795" s="4">
        <v>0</v>
      </c>
      <c r="N795" s="5">
        <v>0</v>
      </c>
      <c r="O795" s="5">
        <v>0</v>
      </c>
      <c r="P795" s="5">
        <v>0</v>
      </c>
      <c r="Q795" s="5">
        <v>0</v>
      </c>
      <c r="R795" s="5">
        <v>0</v>
      </c>
      <c r="S795" s="5">
        <v>0</v>
      </c>
      <c r="T795" s="5">
        <f t="shared" si="100"/>
        <v>0</v>
      </c>
      <c r="U795" s="5">
        <v>100</v>
      </c>
      <c r="V795" s="5">
        <v>0</v>
      </c>
      <c r="W795" s="5">
        <v>0</v>
      </c>
      <c r="X795" s="5">
        <v>0</v>
      </c>
      <c r="Y795" s="5">
        <v>100</v>
      </c>
      <c r="Z795" s="5">
        <f t="shared" si="101"/>
        <v>100</v>
      </c>
      <c r="AA795" s="20">
        <f t="shared" si="99"/>
        <v>0</v>
      </c>
    </row>
    <row r="796" spans="1:27" ht="12.75">
      <c r="A796" s="3" t="s">
        <v>1751</v>
      </c>
      <c r="B796" s="3" t="s">
        <v>3187</v>
      </c>
      <c r="C796" s="3" t="s">
        <v>3188</v>
      </c>
      <c r="D796" s="3" t="s">
        <v>261</v>
      </c>
      <c r="E796" s="3" t="s">
        <v>203</v>
      </c>
      <c r="F796" s="3" t="s">
        <v>263</v>
      </c>
      <c r="G796" s="3" t="s">
        <v>1591</v>
      </c>
      <c r="H796" s="3" t="s">
        <v>1592</v>
      </c>
      <c r="I796" s="3" t="s">
        <v>262</v>
      </c>
      <c r="J796" s="4">
        <v>0</v>
      </c>
      <c r="K796" s="4">
        <v>0</v>
      </c>
      <c r="L796" s="4">
        <v>0</v>
      </c>
      <c r="M796" s="4">
        <v>1</v>
      </c>
      <c r="N796" s="5">
        <v>30000</v>
      </c>
      <c r="O796" s="5">
        <v>0</v>
      </c>
      <c r="P796" s="5">
        <v>0</v>
      </c>
      <c r="Q796" s="5">
        <v>0</v>
      </c>
      <c r="R796" s="5">
        <v>0</v>
      </c>
      <c r="S796" s="5">
        <v>0</v>
      </c>
      <c r="T796" s="5">
        <f t="shared" si="100"/>
        <v>30000</v>
      </c>
      <c r="U796" s="5">
        <v>9000</v>
      </c>
      <c r="V796" s="5">
        <v>0</v>
      </c>
      <c r="W796" s="5">
        <v>0</v>
      </c>
      <c r="X796" s="5">
        <v>0</v>
      </c>
      <c r="Y796" s="5">
        <v>39000</v>
      </c>
      <c r="Z796" s="5">
        <f t="shared" si="101"/>
        <v>39000</v>
      </c>
      <c r="AA796" s="20">
        <f t="shared" si="99"/>
        <v>0</v>
      </c>
    </row>
    <row r="797" spans="1:27" ht="12.75">
      <c r="A797" s="3" t="s">
        <v>1936</v>
      </c>
      <c r="B797" s="3" t="s">
        <v>3187</v>
      </c>
      <c r="C797" s="3" t="s">
        <v>3188</v>
      </c>
      <c r="D797" s="3" t="s">
        <v>264</v>
      </c>
      <c r="E797" s="3" t="s">
        <v>203</v>
      </c>
      <c r="F797" s="3" t="s">
        <v>266</v>
      </c>
      <c r="G797" s="3" t="s">
        <v>1591</v>
      </c>
      <c r="H797" s="3" t="s">
        <v>1592</v>
      </c>
      <c r="I797" s="3" t="s">
        <v>626</v>
      </c>
      <c r="J797" s="4">
        <v>0</v>
      </c>
      <c r="K797" s="4">
        <v>0</v>
      </c>
      <c r="L797" s="4">
        <v>0</v>
      </c>
      <c r="M797" s="4">
        <v>0</v>
      </c>
      <c r="N797" s="5">
        <v>0</v>
      </c>
      <c r="O797" s="5">
        <v>0</v>
      </c>
      <c r="P797" s="5">
        <v>0</v>
      </c>
      <c r="Q797" s="5">
        <v>0</v>
      </c>
      <c r="R797" s="5">
        <v>0</v>
      </c>
      <c r="S797" s="5">
        <v>0</v>
      </c>
      <c r="T797" s="5">
        <f t="shared" si="100"/>
        <v>0</v>
      </c>
      <c r="U797" s="5">
        <v>300</v>
      </c>
      <c r="V797" s="5">
        <v>0</v>
      </c>
      <c r="W797" s="5">
        <v>0</v>
      </c>
      <c r="X797" s="5">
        <v>0</v>
      </c>
      <c r="Y797" s="5">
        <v>300</v>
      </c>
      <c r="Z797" s="5">
        <f t="shared" si="101"/>
        <v>300</v>
      </c>
      <c r="AA797" s="20">
        <f t="shared" si="99"/>
        <v>0</v>
      </c>
    </row>
    <row r="798" spans="1:27" ht="12.75">
      <c r="A798" s="3" t="s">
        <v>1751</v>
      </c>
      <c r="B798" s="3" t="s">
        <v>3187</v>
      </c>
      <c r="C798" s="3" t="s">
        <v>3188</v>
      </c>
      <c r="D798" s="3" t="s">
        <v>267</v>
      </c>
      <c r="E798" s="3" t="s">
        <v>203</v>
      </c>
      <c r="F798" s="3" t="s">
        <v>268</v>
      </c>
      <c r="G798" s="3" t="s">
        <v>1591</v>
      </c>
      <c r="H798" s="3" t="s">
        <v>1592</v>
      </c>
      <c r="I798" s="3" t="s">
        <v>1825</v>
      </c>
      <c r="J798" s="4">
        <v>0</v>
      </c>
      <c r="K798" s="4">
        <v>0</v>
      </c>
      <c r="L798" s="4">
        <v>0</v>
      </c>
      <c r="M798" s="4">
        <v>0</v>
      </c>
      <c r="N798" s="5">
        <v>0</v>
      </c>
      <c r="O798" s="5">
        <v>0</v>
      </c>
      <c r="P798" s="5">
        <v>0</v>
      </c>
      <c r="Q798" s="5">
        <v>0</v>
      </c>
      <c r="R798" s="5">
        <v>0</v>
      </c>
      <c r="S798" s="5">
        <v>0</v>
      </c>
      <c r="T798" s="5">
        <f t="shared" si="100"/>
        <v>0</v>
      </c>
      <c r="U798" s="5">
        <v>7337</v>
      </c>
      <c r="V798" s="5">
        <v>0</v>
      </c>
      <c r="W798" s="5">
        <v>0</v>
      </c>
      <c r="X798" s="5">
        <v>0</v>
      </c>
      <c r="Y798" s="5">
        <v>7337</v>
      </c>
      <c r="Z798" s="5">
        <f t="shared" si="101"/>
        <v>7337</v>
      </c>
      <c r="AA798" s="20">
        <f t="shared" si="99"/>
        <v>0</v>
      </c>
    </row>
    <row r="799" spans="1:27" ht="12.75">
      <c r="A799" s="3" t="s">
        <v>1936</v>
      </c>
      <c r="B799" s="3" t="s">
        <v>3187</v>
      </c>
      <c r="C799" s="3" t="s">
        <v>3188</v>
      </c>
      <c r="D799" s="3" t="s">
        <v>269</v>
      </c>
      <c r="E799" s="3" t="s">
        <v>203</v>
      </c>
      <c r="F799" s="3" t="s">
        <v>275</v>
      </c>
      <c r="G799" s="3" t="s">
        <v>1591</v>
      </c>
      <c r="H799" s="3" t="s">
        <v>1592</v>
      </c>
      <c r="I799" s="3" t="s">
        <v>274</v>
      </c>
      <c r="J799" s="4">
        <v>0</v>
      </c>
      <c r="K799" s="4">
        <v>0</v>
      </c>
      <c r="L799" s="4">
        <v>0</v>
      </c>
      <c r="M799" s="4">
        <v>0</v>
      </c>
      <c r="N799" s="5">
        <v>0</v>
      </c>
      <c r="O799" s="5">
        <v>0</v>
      </c>
      <c r="P799" s="5">
        <v>300</v>
      </c>
      <c r="Q799" s="5">
        <v>0</v>
      </c>
      <c r="R799" s="5">
        <v>0</v>
      </c>
      <c r="S799" s="5">
        <v>0</v>
      </c>
      <c r="T799" s="5">
        <f t="shared" si="100"/>
        <v>300</v>
      </c>
      <c r="U799" s="5">
        <v>200</v>
      </c>
      <c r="V799" s="5">
        <v>0</v>
      </c>
      <c r="W799" s="5">
        <v>0</v>
      </c>
      <c r="X799" s="5">
        <v>0</v>
      </c>
      <c r="Y799" s="5">
        <v>500</v>
      </c>
      <c r="Z799" s="5">
        <f t="shared" si="101"/>
        <v>500</v>
      </c>
      <c r="AA799" s="20">
        <f t="shared" si="99"/>
        <v>0</v>
      </c>
    </row>
    <row r="800" spans="1:27" ht="12.75">
      <c r="A800" s="3" t="s">
        <v>1751</v>
      </c>
      <c r="B800" s="3" t="s">
        <v>3187</v>
      </c>
      <c r="C800" s="3" t="s">
        <v>3188</v>
      </c>
      <c r="D800" s="3" t="s">
        <v>276</v>
      </c>
      <c r="E800" s="3" t="s">
        <v>203</v>
      </c>
      <c r="F800" s="3" t="s">
        <v>277</v>
      </c>
      <c r="G800" s="3" t="s">
        <v>1591</v>
      </c>
      <c r="H800" s="3" t="s">
        <v>1592</v>
      </c>
      <c r="I800" s="3" t="s">
        <v>1831</v>
      </c>
      <c r="J800" s="4">
        <v>0</v>
      </c>
      <c r="K800" s="4">
        <v>0</v>
      </c>
      <c r="L800" s="4">
        <v>0</v>
      </c>
      <c r="M800" s="4">
        <v>0</v>
      </c>
      <c r="N800" s="5">
        <v>0</v>
      </c>
      <c r="O800" s="5">
        <v>0</v>
      </c>
      <c r="P800" s="5">
        <v>0</v>
      </c>
      <c r="Q800" s="5">
        <v>0</v>
      </c>
      <c r="R800" s="5">
        <v>0</v>
      </c>
      <c r="S800" s="5">
        <v>0</v>
      </c>
      <c r="T800" s="5">
        <f t="shared" si="100"/>
        <v>0</v>
      </c>
      <c r="U800" s="5">
        <v>2000</v>
      </c>
      <c r="V800" s="5">
        <v>0</v>
      </c>
      <c r="W800" s="5">
        <v>0</v>
      </c>
      <c r="X800" s="5">
        <v>0</v>
      </c>
      <c r="Y800" s="5">
        <v>2000</v>
      </c>
      <c r="Z800" s="5">
        <f t="shared" si="101"/>
        <v>2000</v>
      </c>
      <c r="AA800" s="20">
        <f t="shared" si="99"/>
        <v>0</v>
      </c>
    </row>
    <row r="801" spans="1:27" ht="12.75">
      <c r="A801" s="3" t="s">
        <v>1584</v>
      </c>
      <c r="B801" s="3" t="s">
        <v>3187</v>
      </c>
      <c r="C801" s="3" t="s">
        <v>3188</v>
      </c>
      <c r="D801" s="3" t="s">
        <v>278</v>
      </c>
      <c r="E801" s="3" t="s">
        <v>203</v>
      </c>
      <c r="F801" s="3" t="s">
        <v>279</v>
      </c>
      <c r="G801" s="3" t="s">
        <v>1591</v>
      </c>
      <c r="H801" s="3" t="s">
        <v>1592</v>
      </c>
      <c r="I801" s="3" t="s">
        <v>3089</v>
      </c>
      <c r="J801" s="4">
        <v>0</v>
      </c>
      <c r="K801" s="4">
        <v>0</v>
      </c>
      <c r="L801" s="4">
        <v>0</v>
      </c>
      <c r="M801" s="4">
        <v>0</v>
      </c>
      <c r="N801" s="5">
        <v>0</v>
      </c>
      <c r="O801" s="5">
        <v>0</v>
      </c>
      <c r="P801" s="5">
        <v>0</v>
      </c>
      <c r="Q801" s="5">
        <v>0</v>
      </c>
      <c r="R801" s="5">
        <v>0</v>
      </c>
      <c r="S801" s="5">
        <v>4300</v>
      </c>
      <c r="T801" s="5">
        <f t="shared" si="100"/>
        <v>0</v>
      </c>
      <c r="U801" s="5">
        <f>6900+4300</f>
        <v>11200</v>
      </c>
      <c r="V801" s="5">
        <v>0</v>
      </c>
      <c r="W801" s="5">
        <v>0</v>
      </c>
      <c r="X801" s="5">
        <v>3100</v>
      </c>
      <c r="Y801" s="5">
        <v>14300</v>
      </c>
      <c r="Z801" s="5">
        <f t="shared" si="101"/>
        <v>14300</v>
      </c>
      <c r="AA801" s="20">
        <f t="shared" si="99"/>
        <v>0</v>
      </c>
    </row>
    <row r="802" spans="1:27" ht="12.75">
      <c r="A802" s="3" t="s">
        <v>1584</v>
      </c>
      <c r="B802" s="3" t="s">
        <v>3187</v>
      </c>
      <c r="C802" s="3" t="s">
        <v>3188</v>
      </c>
      <c r="D802" s="3" t="s">
        <v>280</v>
      </c>
      <c r="E802" s="3" t="s">
        <v>203</v>
      </c>
      <c r="F802" s="3" t="s">
        <v>282</v>
      </c>
      <c r="G802" s="3" t="s">
        <v>1591</v>
      </c>
      <c r="H802" s="3" t="s">
        <v>1592</v>
      </c>
      <c r="I802" s="3" t="s">
        <v>281</v>
      </c>
      <c r="J802" s="4">
        <v>0</v>
      </c>
      <c r="K802" s="4">
        <v>0</v>
      </c>
      <c r="L802" s="4">
        <v>0</v>
      </c>
      <c r="M802" s="4">
        <v>0</v>
      </c>
      <c r="N802" s="5">
        <v>0</v>
      </c>
      <c r="O802" s="5">
        <v>0</v>
      </c>
      <c r="P802" s="5">
        <v>0</v>
      </c>
      <c r="Q802" s="5">
        <v>0</v>
      </c>
      <c r="R802" s="5">
        <v>0</v>
      </c>
      <c r="S802" s="5">
        <v>0</v>
      </c>
      <c r="T802" s="5">
        <f t="shared" si="100"/>
        <v>0</v>
      </c>
      <c r="U802" s="5">
        <v>2500</v>
      </c>
      <c r="V802" s="5">
        <v>0</v>
      </c>
      <c r="W802" s="5">
        <v>0</v>
      </c>
      <c r="X802" s="5">
        <v>0</v>
      </c>
      <c r="Y802" s="5">
        <v>2500</v>
      </c>
      <c r="Z802" s="5">
        <f t="shared" si="101"/>
        <v>2500</v>
      </c>
      <c r="AA802" s="20">
        <f t="shared" si="99"/>
        <v>0</v>
      </c>
    </row>
    <row r="803" spans="1:27" ht="12.75">
      <c r="A803" s="3" t="s">
        <v>1871</v>
      </c>
      <c r="B803" s="3" t="s">
        <v>3187</v>
      </c>
      <c r="C803" s="3" t="s">
        <v>3188</v>
      </c>
      <c r="D803" s="3" t="s">
        <v>283</v>
      </c>
      <c r="E803" s="3" t="s">
        <v>203</v>
      </c>
      <c r="F803" s="3" t="s">
        <v>285</v>
      </c>
      <c r="G803" s="3" t="s">
        <v>1591</v>
      </c>
      <c r="H803" s="3" t="s">
        <v>1592</v>
      </c>
      <c r="I803" s="3" t="s">
        <v>284</v>
      </c>
      <c r="J803" s="4">
        <v>0</v>
      </c>
      <c r="K803" s="4">
        <v>0</v>
      </c>
      <c r="L803" s="4">
        <v>0</v>
      </c>
      <c r="M803" s="4">
        <v>0</v>
      </c>
      <c r="N803" s="5">
        <v>0</v>
      </c>
      <c r="O803" s="5">
        <v>0</v>
      </c>
      <c r="P803" s="5">
        <v>0</v>
      </c>
      <c r="Q803" s="5">
        <v>0</v>
      </c>
      <c r="R803" s="5">
        <v>0</v>
      </c>
      <c r="S803" s="5">
        <v>0</v>
      </c>
      <c r="T803" s="5">
        <f t="shared" si="100"/>
        <v>0</v>
      </c>
      <c r="U803" s="5">
        <v>200</v>
      </c>
      <c r="V803" s="5">
        <v>0</v>
      </c>
      <c r="W803" s="5">
        <v>0</v>
      </c>
      <c r="X803" s="5">
        <v>0</v>
      </c>
      <c r="Y803" s="5">
        <v>200</v>
      </c>
      <c r="Z803" s="5">
        <f t="shared" si="101"/>
        <v>200</v>
      </c>
      <c r="AA803" s="20">
        <f t="shared" si="99"/>
        <v>0</v>
      </c>
    </row>
    <row r="804" spans="1:27" ht="12.75">
      <c r="A804" s="3" t="s">
        <v>1584</v>
      </c>
      <c r="B804" s="3" t="s">
        <v>3187</v>
      </c>
      <c r="C804" s="3" t="s">
        <v>3188</v>
      </c>
      <c r="D804" s="3" t="s">
        <v>286</v>
      </c>
      <c r="E804" s="3" t="s">
        <v>203</v>
      </c>
      <c r="F804" s="3" t="s">
        <v>288</v>
      </c>
      <c r="G804" s="3" t="s">
        <v>1591</v>
      </c>
      <c r="H804" s="3" t="s">
        <v>1592</v>
      </c>
      <c r="I804" s="3" t="s">
        <v>627</v>
      </c>
      <c r="J804" s="4">
        <v>0</v>
      </c>
      <c r="K804" s="4">
        <v>0</v>
      </c>
      <c r="L804" s="4">
        <v>0</v>
      </c>
      <c r="M804" s="4">
        <v>0</v>
      </c>
      <c r="N804" s="5">
        <v>0</v>
      </c>
      <c r="O804" s="5">
        <v>0</v>
      </c>
      <c r="P804" s="5">
        <v>0</v>
      </c>
      <c r="Q804" s="5">
        <v>0</v>
      </c>
      <c r="R804" s="5">
        <v>0</v>
      </c>
      <c r="S804" s="5">
        <v>0</v>
      </c>
      <c r="T804" s="5">
        <f t="shared" si="100"/>
        <v>0</v>
      </c>
      <c r="U804" s="5">
        <v>4000</v>
      </c>
      <c r="V804" s="5">
        <v>0</v>
      </c>
      <c r="W804" s="5">
        <v>0</v>
      </c>
      <c r="X804" s="5">
        <v>2000</v>
      </c>
      <c r="Y804" s="5">
        <v>6000</v>
      </c>
      <c r="Z804" s="5">
        <f t="shared" si="101"/>
        <v>6000</v>
      </c>
      <c r="AA804" s="20">
        <f t="shared" si="99"/>
        <v>0</v>
      </c>
    </row>
    <row r="805" spans="1:27" ht="12.75">
      <c r="A805" s="3" t="s">
        <v>2874</v>
      </c>
      <c r="B805" s="3" t="s">
        <v>3187</v>
      </c>
      <c r="C805" s="3" t="s">
        <v>3188</v>
      </c>
      <c r="D805" s="3" t="s">
        <v>289</v>
      </c>
      <c r="E805" s="3" t="s">
        <v>203</v>
      </c>
      <c r="F805" s="3" t="s">
        <v>291</v>
      </c>
      <c r="G805" s="3" t="s">
        <v>1591</v>
      </c>
      <c r="H805" s="3" t="s">
        <v>1592</v>
      </c>
      <c r="I805" s="3" t="s">
        <v>290</v>
      </c>
      <c r="J805" s="4">
        <v>0</v>
      </c>
      <c r="K805" s="4">
        <v>0</v>
      </c>
      <c r="L805" s="4">
        <v>6</v>
      </c>
      <c r="M805" s="4">
        <v>0</v>
      </c>
      <c r="N805" s="5">
        <v>129772</v>
      </c>
      <c r="O805" s="5">
        <v>0</v>
      </c>
      <c r="P805" s="5">
        <v>0</v>
      </c>
      <c r="Q805" s="5">
        <v>0</v>
      </c>
      <c r="R805" s="5">
        <v>9746</v>
      </c>
      <c r="S805" s="5">
        <v>0</v>
      </c>
      <c r="T805" s="5">
        <f t="shared" si="100"/>
        <v>139518</v>
      </c>
      <c r="U805" s="5">
        <f>SUM(S805:S805)</f>
        <v>0</v>
      </c>
      <c r="V805" s="5">
        <v>0</v>
      </c>
      <c r="W805" s="5">
        <v>0</v>
      </c>
      <c r="X805" s="5">
        <v>0</v>
      </c>
      <c r="Y805" s="5">
        <v>139518</v>
      </c>
      <c r="Z805" s="5">
        <f t="shared" si="101"/>
        <v>139518</v>
      </c>
      <c r="AA805" s="20">
        <f t="shared" si="99"/>
        <v>0</v>
      </c>
    </row>
    <row r="806" spans="1:27" ht="12.75">
      <c r="A806" s="3" t="s">
        <v>2040</v>
      </c>
      <c r="B806" s="3" t="s">
        <v>3187</v>
      </c>
      <c r="C806" s="3" t="s">
        <v>3188</v>
      </c>
      <c r="D806" s="3" t="s">
        <v>292</v>
      </c>
      <c r="E806" s="3" t="s">
        <v>203</v>
      </c>
      <c r="F806" s="3" t="s">
        <v>294</v>
      </c>
      <c r="G806" s="3" t="s">
        <v>1591</v>
      </c>
      <c r="H806" s="3" t="s">
        <v>1592</v>
      </c>
      <c r="I806" s="3" t="s">
        <v>293</v>
      </c>
      <c r="J806" s="4">
        <v>0</v>
      </c>
      <c r="K806" s="4">
        <v>0.705</v>
      </c>
      <c r="L806" s="4">
        <v>0</v>
      </c>
      <c r="M806" s="4">
        <v>2.6710000000000003</v>
      </c>
      <c r="N806" s="5">
        <v>107268</v>
      </c>
      <c r="O806" s="5">
        <v>0</v>
      </c>
      <c r="P806" s="5">
        <v>0</v>
      </c>
      <c r="Q806" s="5">
        <v>0</v>
      </c>
      <c r="R806" s="5">
        <v>2734</v>
      </c>
      <c r="S806" s="5">
        <v>0</v>
      </c>
      <c r="T806" s="5">
        <f t="shared" si="100"/>
        <v>110002</v>
      </c>
      <c r="U806" s="5">
        <v>475574</v>
      </c>
      <c r="V806" s="5">
        <v>0</v>
      </c>
      <c r="W806" s="5">
        <v>0</v>
      </c>
      <c r="X806" s="5">
        <v>0</v>
      </c>
      <c r="Y806" s="5">
        <v>585576</v>
      </c>
      <c r="Z806" s="5">
        <f t="shared" si="101"/>
        <v>585576</v>
      </c>
      <c r="AA806" s="20">
        <f t="shared" si="99"/>
        <v>0</v>
      </c>
    </row>
    <row r="807" spans="1:27" ht="12.75">
      <c r="A807" s="3" t="s">
        <v>2040</v>
      </c>
      <c r="B807" s="3" t="s">
        <v>3187</v>
      </c>
      <c r="C807" s="3" t="s">
        <v>3188</v>
      </c>
      <c r="D807" s="3" t="s">
        <v>295</v>
      </c>
      <c r="E807" s="3" t="s">
        <v>203</v>
      </c>
      <c r="F807" s="3" t="s">
        <v>297</v>
      </c>
      <c r="G807" s="3" t="s">
        <v>1591</v>
      </c>
      <c r="H807" s="3" t="s">
        <v>1592</v>
      </c>
      <c r="I807" s="3" t="s">
        <v>296</v>
      </c>
      <c r="J807" s="4">
        <v>0</v>
      </c>
      <c r="K807" s="4">
        <v>0.105</v>
      </c>
      <c r="L807" s="4">
        <v>0</v>
      </c>
      <c r="M807" s="4">
        <v>0</v>
      </c>
      <c r="N807" s="5">
        <v>5004</v>
      </c>
      <c r="O807" s="5">
        <v>0</v>
      </c>
      <c r="P807" s="5">
        <v>0</v>
      </c>
      <c r="Q807" s="5">
        <v>0</v>
      </c>
      <c r="R807" s="5">
        <v>0</v>
      </c>
      <c r="S807" s="5">
        <v>0</v>
      </c>
      <c r="T807" s="5">
        <f t="shared" si="100"/>
        <v>5004</v>
      </c>
      <c r="U807" s="5">
        <f>SUM(S807:S807)</f>
        <v>0</v>
      </c>
      <c r="V807" s="5">
        <v>0</v>
      </c>
      <c r="W807" s="5">
        <v>0</v>
      </c>
      <c r="X807" s="5">
        <v>0</v>
      </c>
      <c r="Y807" s="5">
        <v>5004</v>
      </c>
      <c r="Z807" s="5">
        <f t="shared" si="101"/>
        <v>5004</v>
      </c>
      <c r="AA807" s="20">
        <f t="shared" si="99"/>
        <v>0</v>
      </c>
    </row>
    <row r="808" spans="1:27" ht="12.75">
      <c r="A808" s="3" t="s">
        <v>1751</v>
      </c>
      <c r="B808" s="3" t="s">
        <v>522</v>
      </c>
      <c r="C808" s="3" t="s">
        <v>523</v>
      </c>
      <c r="D808" s="3" t="s">
        <v>524</v>
      </c>
      <c r="E808" s="3" t="s">
        <v>526</v>
      </c>
      <c r="F808" s="3" t="s">
        <v>527</v>
      </c>
      <c r="G808" s="3" t="s">
        <v>1591</v>
      </c>
      <c r="H808" s="3" t="s">
        <v>1592</v>
      </c>
      <c r="I808" s="3" t="s">
        <v>525</v>
      </c>
      <c r="J808" s="4">
        <v>0</v>
      </c>
      <c r="K808" s="4">
        <v>0</v>
      </c>
      <c r="L808" s="4">
        <v>0</v>
      </c>
      <c r="M808" s="4">
        <v>0</v>
      </c>
      <c r="N808" s="5">
        <v>0</v>
      </c>
      <c r="O808" s="5">
        <v>0</v>
      </c>
      <c r="P808" s="5">
        <v>0</v>
      </c>
      <c r="Q808" s="5">
        <v>0</v>
      </c>
      <c r="R808" s="5">
        <v>0</v>
      </c>
      <c r="S808" s="5">
        <v>0</v>
      </c>
      <c r="T808" s="5">
        <f t="shared" si="100"/>
        <v>0</v>
      </c>
      <c r="U808" s="5">
        <v>37000</v>
      </c>
      <c r="V808" s="5">
        <v>0</v>
      </c>
      <c r="W808" s="5">
        <v>0</v>
      </c>
      <c r="X808" s="5">
        <v>0</v>
      </c>
      <c r="Y808" s="5">
        <v>37000</v>
      </c>
      <c r="Z808" s="5">
        <f t="shared" si="101"/>
        <v>37000</v>
      </c>
      <c r="AA808" s="20">
        <f t="shared" si="99"/>
        <v>0</v>
      </c>
    </row>
    <row r="809" spans="1:27" ht="12.75">
      <c r="A809" s="3" t="s">
        <v>1751</v>
      </c>
      <c r="B809" s="3" t="s">
        <v>522</v>
      </c>
      <c r="C809" s="3" t="s">
        <v>523</v>
      </c>
      <c r="D809" s="3" t="s">
        <v>528</v>
      </c>
      <c r="E809" s="3" t="s">
        <v>526</v>
      </c>
      <c r="F809" s="3" t="s">
        <v>529</v>
      </c>
      <c r="G809" s="3" t="s">
        <v>1591</v>
      </c>
      <c r="H809" s="3" t="s">
        <v>1592</v>
      </c>
      <c r="I809" s="3" t="s">
        <v>2568</v>
      </c>
      <c r="J809" s="4">
        <v>0</v>
      </c>
      <c r="K809" s="4">
        <v>0</v>
      </c>
      <c r="L809" s="4">
        <v>0</v>
      </c>
      <c r="M809" s="4">
        <v>0</v>
      </c>
      <c r="N809" s="5">
        <v>0</v>
      </c>
      <c r="O809" s="5">
        <v>0</v>
      </c>
      <c r="P809" s="5">
        <v>0</v>
      </c>
      <c r="Q809" s="5">
        <v>0</v>
      </c>
      <c r="R809" s="5">
        <v>0</v>
      </c>
      <c r="S809" s="5">
        <v>0</v>
      </c>
      <c r="T809" s="5">
        <f t="shared" si="100"/>
        <v>0</v>
      </c>
      <c r="U809" s="5">
        <v>8500</v>
      </c>
      <c r="V809" s="5">
        <v>0</v>
      </c>
      <c r="W809" s="5">
        <v>0</v>
      </c>
      <c r="X809" s="5">
        <v>0</v>
      </c>
      <c r="Y809" s="5">
        <v>8500</v>
      </c>
      <c r="Z809" s="5">
        <f t="shared" si="101"/>
        <v>8500</v>
      </c>
      <c r="AA809" s="20">
        <f t="shared" si="99"/>
        <v>0</v>
      </c>
    </row>
    <row r="810" spans="1:27" ht="12.75">
      <c r="A810" s="3" t="s">
        <v>1964</v>
      </c>
      <c r="B810" s="3" t="s">
        <v>522</v>
      </c>
      <c r="C810" s="3" t="s">
        <v>523</v>
      </c>
      <c r="D810" s="3" t="s">
        <v>530</v>
      </c>
      <c r="E810" s="3" t="s">
        <v>526</v>
      </c>
      <c r="F810" s="3" t="s">
        <v>532</v>
      </c>
      <c r="G810" s="3" t="s">
        <v>1591</v>
      </c>
      <c r="H810" s="3" t="s">
        <v>1592</v>
      </c>
      <c r="I810" s="3" t="s">
        <v>531</v>
      </c>
      <c r="J810" s="4">
        <v>0</v>
      </c>
      <c r="K810" s="4">
        <v>0</v>
      </c>
      <c r="L810" s="4">
        <v>0</v>
      </c>
      <c r="M810" s="4">
        <v>0</v>
      </c>
      <c r="N810" s="5">
        <v>0</v>
      </c>
      <c r="O810" s="5">
        <v>0</v>
      </c>
      <c r="P810" s="5">
        <v>100</v>
      </c>
      <c r="Q810" s="5">
        <v>0</v>
      </c>
      <c r="R810" s="5">
        <v>0</v>
      </c>
      <c r="S810" s="5">
        <v>0</v>
      </c>
      <c r="T810" s="5">
        <f t="shared" si="100"/>
        <v>100</v>
      </c>
      <c r="U810" s="5">
        <f>SUM(S810:S810)</f>
        <v>0</v>
      </c>
      <c r="V810" s="5">
        <v>0</v>
      </c>
      <c r="W810" s="5">
        <v>0</v>
      </c>
      <c r="X810" s="5">
        <v>0</v>
      </c>
      <c r="Y810" s="5">
        <v>100</v>
      </c>
      <c r="Z810" s="5">
        <f t="shared" si="101"/>
        <v>100</v>
      </c>
      <c r="AA810" s="20">
        <f t="shared" si="99"/>
        <v>0</v>
      </c>
    </row>
    <row r="811" spans="1:27" ht="12.75">
      <c r="A811" s="3" t="s">
        <v>1964</v>
      </c>
      <c r="B811" s="3" t="s">
        <v>522</v>
      </c>
      <c r="C811" s="3" t="s">
        <v>523</v>
      </c>
      <c r="D811" s="3" t="s">
        <v>533</v>
      </c>
      <c r="E811" s="3" t="s">
        <v>526</v>
      </c>
      <c r="F811" s="3" t="s">
        <v>535</v>
      </c>
      <c r="G811" s="3" t="s">
        <v>1591</v>
      </c>
      <c r="H811" s="3" t="s">
        <v>1592</v>
      </c>
      <c r="I811" s="3" t="s">
        <v>534</v>
      </c>
      <c r="J811" s="4">
        <v>0</v>
      </c>
      <c r="K811" s="4">
        <v>0</v>
      </c>
      <c r="L811" s="4">
        <v>0</v>
      </c>
      <c r="M811" s="4">
        <v>0</v>
      </c>
      <c r="N811" s="5">
        <v>0</v>
      </c>
      <c r="O811" s="5">
        <v>0</v>
      </c>
      <c r="P811" s="5">
        <v>0</v>
      </c>
      <c r="Q811" s="5">
        <v>0</v>
      </c>
      <c r="R811" s="5">
        <v>0</v>
      </c>
      <c r="S811" s="5">
        <v>0</v>
      </c>
      <c r="T811" s="5">
        <f t="shared" si="100"/>
        <v>0</v>
      </c>
      <c r="U811" s="5">
        <v>335</v>
      </c>
      <c r="V811" s="5">
        <v>0</v>
      </c>
      <c r="W811" s="5">
        <v>0</v>
      </c>
      <c r="X811" s="5">
        <v>0</v>
      </c>
      <c r="Y811" s="5">
        <v>335</v>
      </c>
      <c r="Z811" s="5">
        <f t="shared" si="101"/>
        <v>335</v>
      </c>
      <c r="AA811" s="20">
        <f t="shared" si="99"/>
        <v>0</v>
      </c>
    </row>
    <row r="812" spans="1:27" ht="12.75">
      <c r="A812" s="3" t="s">
        <v>1964</v>
      </c>
      <c r="B812" s="3" t="s">
        <v>522</v>
      </c>
      <c r="C812" s="3" t="s">
        <v>523</v>
      </c>
      <c r="D812" s="3" t="s">
        <v>536</v>
      </c>
      <c r="E812" s="3" t="s">
        <v>526</v>
      </c>
      <c r="F812" s="3" t="s">
        <v>538</v>
      </c>
      <c r="G812" s="3" t="s">
        <v>1591</v>
      </c>
      <c r="H812" s="3" t="s">
        <v>1592</v>
      </c>
      <c r="I812" s="3" t="s">
        <v>537</v>
      </c>
      <c r="J812" s="4">
        <v>0</v>
      </c>
      <c r="K812" s="4">
        <v>0</v>
      </c>
      <c r="L812" s="4">
        <v>0</v>
      </c>
      <c r="M812" s="4">
        <v>0</v>
      </c>
      <c r="N812" s="5">
        <v>0</v>
      </c>
      <c r="O812" s="5">
        <v>0</v>
      </c>
      <c r="P812" s="5">
        <v>0</v>
      </c>
      <c r="Q812" s="5">
        <v>0</v>
      </c>
      <c r="R812" s="5">
        <v>0</v>
      </c>
      <c r="S812" s="5">
        <v>0</v>
      </c>
      <c r="T812" s="5">
        <f t="shared" si="100"/>
        <v>0</v>
      </c>
      <c r="U812" s="5">
        <f>SUM(S812:S812)</f>
        <v>0</v>
      </c>
      <c r="V812" s="5">
        <v>0</v>
      </c>
      <c r="W812" s="5">
        <v>2000</v>
      </c>
      <c r="X812" s="5">
        <v>0</v>
      </c>
      <c r="Y812" s="5">
        <v>2000</v>
      </c>
      <c r="Z812" s="5">
        <f t="shared" si="101"/>
        <v>2000</v>
      </c>
      <c r="AA812" s="20">
        <f t="shared" si="99"/>
        <v>0</v>
      </c>
    </row>
    <row r="813" spans="1:27" ht="12.75">
      <c r="A813" s="3" t="s">
        <v>1842</v>
      </c>
      <c r="B813" s="3" t="s">
        <v>522</v>
      </c>
      <c r="C813" s="3" t="s">
        <v>523</v>
      </c>
      <c r="D813" s="3" t="s">
        <v>539</v>
      </c>
      <c r="E813" s="3" t="s">
        <v>526</v>
      </c>
      <c r="F813" s="3" t="s">
        <v>541</v>
      </c>
      <c r="G813" s="3" t="s">
        <v>1591</v>
      </c>
      <c r="H813" s="3" t="s">
        <v>1592</v>
      </c>
      <c r="I813" s="3" t="s">
        <v>540</v>
      </c>
      <c r="J813" s="4">
        <v>0</v>
      </c>
      <c r="K813" s="4">
        <v>0</v>
      </c>
      <c r="L813" s="4">
        <v>1</v>
      </c>
      <c r="M813" s="4">
        <v>0</v>
      </c>
      <c r="N813" s="5">
        <v>18180</v>
      </c>
      <c r="O813" s="5">
        <v>0</v>
      </c>
      <c r="P813" s="5">
        <v>0</v>
      </c>
      <c r="Q813" s="5">
        <v>0</v>
      </c>
      <c r="R813" s="5">
        <v>0</v>
      </c>
      <c r="S813" s="5">
        <v>0</v>
      </c>
      <c r="T813" s="5">
        <f t="shared" si="100"/>
        <v>18180</v>
      </c>
      <c r="U813" s="5">
        <f>SUM(S813:S813)</f>
        <v>0</v>
      </c>
      <c r="V813" s="5">
        <v>0</v>
      </c>
      <c r="W813" s="5">
        <v>0</v>
      </c>
      <c r="X813" s="5">
        <v>0</v>
      </c>
      <c r="Y813" s="5">
        <v>18180</v>
      </c>
      <c r="Z813" s="5">
        <f t="shared" si="101"/>
        <v>18180</v>
      </c>
      <c r="AA813" s="20">
        <f t="shared" si="99"/>
        <v>0</v>
      </c>
    </row>
    <row r="814" spans="1:27" ht="12.75">
      <c r="A814" s="3" t="s">
        <v>1936</v>
      </c>
      <c r="B814" s="3" t="s">
        <v>522</v>
      </c>
      <c r="C814" s="3" t="s">
        <v>523</v>
      </c>
      <c r="D814" s="3" t="s">
        <v>542</v>
      </c>
      <c r="E814" s="3" t="s">
        <v>526</v>
      </c>
      <c r="F814" s="3" t="s">
        <v>544</v>
      </c>
      <c r="G814" s="3" t="s">
        <v>1591</v>
      </c>
      <c r="H814" s="3" t="s">
        <v>1592</v>
      </c>
      <c r="I814" s="3" t="s">
        <v>543</v>
      </c>
      <c r="J814" s="4">
        <v>0</v>
      </c>
      <c r="K814" s="4">
        <v>0</v>
      </c>
      <c r="L814" s="4">
        <v>0</v>
      </c>
      <c r="M814" s="4">
        <v>0</v>
      </c>
      <c r="N814" s="5">
        <v>0</v>
      </c>
      <c r="O814" s="5">
        <v>0</v>
      </c>
      <c r="P814" s="5">
        <v>0</v>
      </c>
      <c r="Q814" s="5">
        <v>0</v>
      </c>
      <c r="R814" s="5">
        <v>0</v>
      </c>
      <c r="S814" s="5">
        <v>0</v>
      </c>
      <c r="T814" s="5">
        <f t="shared" si="100"/>
        <v>0</v>
      </c>
      <c r="U814" s="5">
        <f>SUM(S814:S814)</f>
        <v>0</v>
      </c>
      <c r="V814" s="5">
        <v>100</v>
      </c>
      <c r="W814" s="5">
        <v>0</v>
      </c>
      <c r="X814" s="5">
        <v>0</v>
      </c>
      <c r="Y814" s="5">
        <v>100</v>
      </c>
      <c r="Z814" s="5">
        <f t="shared" si="101"/>
        <v>100</v>
      </c>
      <c r="AA814" s="20">
        <f t="shared" si="99"/>
        <v>0</v>
      </c>
    </row>
    <row r="815" spans="1:27" ht="12.75">
      <c r="A815" s="3" t="s">
        <v>2698</v>
      </c>
      <c r="B815" s="3" t="s">
        <v>1461</v>
      </c>
      <c r="C815" s="3" t="s">
        <v>1462</v>
      </c>
      <c r="D815" s="3" t="s">
        <v>1463</v>
      </c>
      <c r="E815" s="3" t="s">
        <v>526</v>
      </c>
      <c r="F815" s="3" t="s">
        <v>1465</v>
      </c>
      <c r="G815" s="3" t="s">
        <v>1591</v>
      </c>
      <c r="H815" s="3" t="s">
        <v>1592</v>
      </c>
      <c r="I815" s="3" t="s">
        <v>1464</v>
      </c>
      <c r="J815" s="4">
        <v>0</v>
      </c>
      <c r="K815" s="4">
        <v>0</v>
      </c>
      <c r="L815" s="4">
        <v>0</v>
      </c>
      <c r="M815" s="4">
        <v>0</v>
      </c>
      <c r="N815" s="5">
        <v>0</v>
      </c>
      <c r="O815" s="5">
        <v>0</v>
      </c>
      <c r="P815" s="5">
        <v>0</v>
      </c>
      <c r="Q815" s="5">
        <v>0</v>
      </c>
      <c r="R815" s="5">
        <v>0</v>
      </c>
      <c r="S815" s="5">
        <v>0</v>
      </c>
      <c r="T815" s="5">
        <f t="shared" si="100"/>
        <v>0</v>
      </c>
      <c r="U815" s="5">
        <f>SUM(S815:S815)</f>
        <v>0</v>
      </c>
      <c r="V815" s="5">
        <v>0</v>
      </c>
      <c r="W815" s="5">
        <v>381000</v>
      </c>
      <c r="X815" s="5">
        <v>0</v>
      </c>
      <c r="Y815" s="5">
        <v>381000</v>
      </c>
      <c r="Z815" s="5">
        <f t="shared" si="101"/>
        <v>381000</v>
      </c>
      <c r="AA815" s="20">
        <f t="shared" si="99"/>
        <v>0</v>
      </c>
    </row>
    <row r="816" spans="1:27" ht="12.75">
      <c r="A816" s="3" t="s">
        <v>1699</v>
      </c>
      <c r="B816" s="3" t="s">
        <v>522</v>
      </c>
      <c r="C816" s="3" t="s">
        <v>523</v>
      </c>
      <c r="D816" s="3" t="s">
        <v>545</v>
      </c>
      <c r="E816" s="3" t="s">
        <v>526</v>
      </c>
      <c r="F816" s="3" t="s">
        <v>547</v>
      </c>
      <c r="G816" s="3" t="s">
        <v>1591</v>
      </c>
      <c r="H816" s="3" t="s">
        <v>1592</v>
      </c>
      <c r="I816" s="3" t="s">
        <v>546</v>
      </c>
      <c r="J816" s="4">
        <v>0</v>
      </c>
      <c r="K816" s="4">
        <v>0</v>
      </c>
      <c r="L816" s="4">
        <v>0</v>
      </c>
      <c r="M816" s="4">
        <v>0</v>
      </c>
      <c r="N816" s="5">
        <v>0</v>
      </c>
      <c r="O816" s="5">
        <v>0</v>
      </c>
      <c r="P816" s="5">
        <v>800</v>
      </c>
      <c r="Q816" s="5">
        <v>0</v>
      </c>
      <c r="R816" s="5">
        <v>0</v>
      </c>
      <c r="S816" s="5">
        <v>200</v>
      </c>
      <c r="T816" s="5">
        <f t="shared" si="100"/>
        <v>800</v>
      </c>
      <c r="U816" s="5">
        <f>6500+200</f>
        <v>6700</v>
      </c>
      <c r="V816" s="5">
        <v>0</v>
      </c>
      <c r="W816" s="5">
        <v>0</v>
      </c>
      <c r="X816" s="5">
        <v>600</v>
      </c>
      <c r="Y816" s="5">
        <v>8100</v>
      </c>
      <c r="Z816" s="5">
        <f t="shared" si="101"/>
        <v>8100</v>
      </c>
      <c r="AA816" s="20">
        <f t="shared" si="99"/>
        <v>0</v>
      </c>
    </row>
    <row r="817" spans="1:27" ht="12.75">
      <c r="A817" s="3" t="s">
        <v>1699</v>
      </c>
      <c r="B817" s="3" t="s">
        <v>522</v>
      </c>
      <c r="C817" s="3" t="s">
        <v>523</v>
      </c>
      <c r="D817" s="3" t="s">
        <v>548</v>
      </c>
      <c r="E817" s="3" t="s">
        <v>526</v>
      </c>
      <c r="F817" s="3" t="s">
        <v>549</v>
      </c>
      <c r="G817" s="3" t="s">
        <v>1591</v>
      </c>
      <c r="H817" s="3" t="s">
        <v>1592</v>
      </c>
      <c r="I817" s="3" t="s">
        <v>1736</v>
      </c>
      <c r="J817" s="4">
        <v>0</v>
      </c>
      <c r="K817" s="4">
        <v>0</v>
      </c>
      <c r="L817" s="4">
        <v>0</v>
      </c>
      <c r="M817" s="4">
        <v>0</v>
      </c>
      <c r="N817" s="5">
        <v>0</v>
      </c>
      <c r="O817" s="5">
        <v>0</v>
      </c>
      <c r="P817" s="5">
        <v>200</v>
      </c>
      <c r="Q817" s="5">
        <v>0</v>
      </c>
      <c r="R817" s="5">
        <v>0</v>
      </c>
      <c r="S817" s="5">
        <v>750</v>
      </c>
      <c r="T817" s="5">
        <f t="shared" si="100"/>
        <v>200</v>
      </c>
      <c r="U817" s="5">
        <f>700+750</f>
        <v>1450</v>
      </c>
      <c r="V817" s="5">
        <v>0</v>
      </c>
      <c r="W817" s="5">
        <v>0</v>
      </c>
      <c r="X817" s="5">
        <v>0</v>
      </c>
      <c r="Y817" s="5">
        <v>1650</v>
      </c>
      <c r="Z817" s="5">
        <f t="shared" si="101"/>
        <v>1650</v>
      </c>
      <c r="AA817" s="20">
        <f t="shared" si="99"/>
        <v>0</v>
      </c>
    </row>
    <row r="818" spans="1:27" ht="12.75">
      <c r="A818" s="3" t="s">
        <v>1699</v>
      </c>
      <c r="B818" s="3" t="s">
        <v>522</v>
      </c>
      <c r="C818" s="3" t="s">
        <v>523</v>
      </c>
      <c r="D818" s="3" t="s">
        <v>550</v>
      </c>
      <c r="E818" s="3" t="s">
        <v>526</v>
      </c>
      <c r="F818" s="3" t="s">
        <v>551</v>
      </c>
      <c r="G818" s="3" t="s">
        <v>1591</v>
      </c>
      <c r="H818" s="3" t="s">
        <v>1592</v>
      </c>
      <c r="I818" s="3" t="s">
        <v>1742</v>
      </c>
      <c r="J818" s="4">
        <v>0</v>
      </c>
      <c r="K818" s="4">
        <v>0</v>
      </c>
      <c r="L818" s="4">
        <v>1.2</v>
      </c>
      <c r="M818" s="4">
        <v>2</v>
      </c>
      <c r="N818" s="5">
        <v>105948</v>
      </c>
      <c r="O818" s="5">
        <v>0</v>
      </c>
      <c r="P818" s="5">
        <v>42000</v>
      </c>
      <c r="Q818" s="5">
        <v>20000</v>
      </c>
      <c r="R818" s="5">
        <v>5738</v>
      </c>
      <c r="S818" s="5">
        <v>30000</v>
      </c>
      <c r="T818" s="5">
        <f t="shared" si="100"/>
        <v>173686</v>
      </c>
      <c r="U818" s="5">
        <f>107000+30000</f>
        <v>137000</v>
      </c>
      <c r="V818" s="5">
        <v>5000</v>
      </c>
      <c r="W818" s="5">
        <v>2000</v>
      </c>
      <c r="X818" s="5">
        <v>7500</v>
      </c>
      <c r="Y818" s="5">
        <v>325186</v>
      </c>
      <c r="Z818" s="5">
        <f t="shared" si="101"/>
        <v>325186</v>
      </c>
      <c r="AA818" s="20">
        <f t="shared" si="99"/>
        <v>0</v>
      </c>
    </row>
    <row r="819" spans="1:27" ht="12.75">
      <c r="A819" s="3" t="s">
        <v>1699</v>
      </c>
      <c r="B819" s="3" t="s">
        <v>522</v>
      </c>
      <c r="C819" s="3" t="s">
        <v>523</v>
      </c>
      <c r="D819" s="3" t="s">
        <v>552</v>
      </c>
      <c r="E819" s="3" t="s">
        <v>526</v>
      </c>
      <c r="F819" s="3" t="s">
        <v>554</v>
      </c>
      <c r="G819" s="3" t="s">
        <v>1591</v>
      </c>
      <c r="H819" s="3" t="s">
        <v>1592</v>
      </c>
      <c r="I819" s="3" t="s">
        <v>553</v>
      </c>
      <c r="J819" s="4">
        <v>0</v>
      </c>
      <c r="K819" s="4">
        <v>0</v>
      </c>
      <c r="L819" s="4">
        <v>0</v>
      </c>
      <c r="M819" s="4">
        <v>0</v>
      </c>
      <c r="N819" s="5">
        <v>0</v>
      </c>
      <c r="O819" s="5">
        <v>0</v>
      </c>
      <c r="P819" s="5">
        <v>1500</v>
      </c>
      <c r="Q819" s="5">
        <v>0</v>
      </c>
      <c r="R819" s="5">
        <v>0</v>
      </c>
      <c r="S819" s="5">
        <v>0</v>
      </c>
      <c r="T819" s="5">
        <f t="shared" si="100"/>
        <v>1500</v>
      </c>
      <c r="U819" s="5">
        <v>950</v>
      </c>
      <c r="V819" s="5">
        <v>0</v>
      </c>
      <c r="W819" s="5">
        <v>0</v>
      </c>
      <c r="X819" s="5">
        <v>15</v>
      </c>
      <c r="Y819" s="5">
        <v>2465</v>
      </c>
      <c r="Z819" s="5">
        <f t="shared" si="101"/>
        <v>2465</v>
      </c>
      <c r="AA819" s="20">
        <f t="shared" si="99"/>
        <v>0</v>
      </c>
    </row>
    <row r="820" spans="1:27" ht="12.75">
      <c r="A820" s="3" t="s">
        <v>1751</v>
      </c>
      <c r="B820" s="3" t="s">
        <v>522</v>
      </c>
      <c r="C820" s="3" t="s">
        <v>523</v>
      </c>
      <c r="D820" s="3" t="s">
        <v>555</v>
      </c>
      <c r="E820" s="3" t="s">
        <v>526</v>
      </c>
      <c r="F820" s="3" t="s">
        <v>556</v>
      </c>
      <c r="G820" s="3" t="s">
        <v>1591</v>
      </c>
      <c r="H820" s="3" t="s">
        <v>1592</v>
      </c>
      <c r="I820" s="3" t="s">
        <v>1762</v>
      </c>
      <c r="J820" s="4">
        <v>0</v>
      </c>
      <c r="K820" s="4">
        <v>0</v>
      </c>
      <c r="L820" s="4">
        <v>0</v>
      </c>
      <c r="M820" s="4">
        <v>0</v>
      </c>
      <c r="N820" s="5">
        <v>0</v>
      </c>
      <c r="O820" s="5">
        <v>0</v>
      </c>
      <c r="P820" s="5">
        <v>0</v>
      </c>
      <c r="Q820" s="5">
        <v>0</v>
      </c>
      <c r="R820" s="5">
        <v>0</v>
      </c>
      <c r="S820" s="5">
        <v>0</v>
      </c>
      <c r="T820" s="5">
        <f t="shared" si="100"/>
        <v>0</v>
      </c>
      <c r="U820" s="5">
        <v>7000</v>
      </c>
      <c r="V820" s="5">
        <v>0</v>
      </c>
      <c r="W820" s="5">
        <v>0</v>
      </c>
      <c r="X820" s="5">
        <v>0</v>
      </c>
      <c r="Y820" s="5">
        <v>7000</v>
      </c>
      <c r="Z820" s="5">
        <f t="shared" si="101"/>
        <v>7000</v>
      </c>
      <c r="AA820" s="20">
        <f t="shared" si="99"/>
        <v>0</v>
      </c>
    </row>
    <row r="821" spans="1:27" ht="12.75">
      <c r="A821" s="3" t="s">
        <v>1751</v>
      </c>
      <c r="B821" s="3" t="s">
        <v>522</v>
      </c>
      <c r="C821" s="3" t="s">
        <v>523</v>
      </c>
      <c r="D821" s="3" t="s">
        <v>557</v>
      </c>
      <c r="E821" s="3" t="s">
        <v>526</v>
      </c>
      <c r="F821" s="3" t="s">
        <v>558</v>
      </c>
      <c r="G821" s="3" t="s">
        <v>1591</v>
      </c>
      <c r="H821" s="3" t="s">
        <v>1592</v>
      </c>
      <c r="I821" s="3" t="s">
        <v>1774</v>
      </c>
      <c r="J821" s="4">
        <v>0</v>
      </c>
      <c r="K821" s="4">
        <v>0</v>
      </c>
      <c r="L821" s="4">
        <v>0</v>
      </c>
      <c r="M821" s="4">
        <v>0</v>
      </c>
      <c r="N821" s="5">
        <v>0</v>
      </c>
      <c r="O821" s="5">
        <v>0</v>
      </c>
      <c r="P821" s="5">
        <v>0</v>
      </c>
      <c r="Q821" s="5">
        <v>0</v>
      </c>
      <c r="R821" s="5">
        <v>0</v>
      </c>
      <c r="S821" s="5">
        <v>0</v>
      </c>
      <c r="T821" s="5">
        <f t="shared" si="100"/>
        <v>0</v>
      </c>
      <c r="U821" s="5">
        <v>24000</v>
      </c>
      <c r="V821" s="5">
        <v>0</v>
      </c>
      <c r="W821" s="5">
        <v>0</v>
      </c>
      <c r="X821" s="5">
        <v>0</v>
      </c>
      <c r="Y821" s="5">
        <v>24000</v>
      </c>
      <c r="Z821" s="5">
        <f t="shared" si="101"/>
        <v>24000</v>
      </c>
      <c r="AA821" s="20">
        <f t="shared" si="99"/>
        <v>0</v>
      </c>
    </row>
    <row r="822" spans="1:27" ht="12.75">
      <c r="A822" s="3" t="s">
        <v>1968</v>
      </c>
      <c r="B822" s="3" t="s">
        <v>522</v>
      </c>
      <c r="C822" s="3" t="s">
        <v>523</v>
      </c>
      <c r="D822" s="3" t="s">
        <v>559</v>
      </c>
      <c r="E822" s="3" t="s">
        <v>526</v>
      </c>
      <c r="F822" s="3" t="s">
        <v>561</v>
      </c>
      <c r="G822" s="3" t="s">
        <v>1591</v>
      </c>
      <c r="H822" s="3" t="s">
        <v>1592</v>
      </c>
      <c r="I822" s="3" t="s">
        <v>560</v>
      </c>
      <c r="J822" s="4">
        <v>0</v>
      </c>
      <c r="K822" s="4">
        <v>0</v>
      </c>
      <c r="L822" s="4">
        <v>0.385</v>
      </c>
      <c r="M822" s="4">
        <v>0</v>
      </c>
      <c r="N822" s="5">
        <v>11848</v>
      </c>
      <c r="O822" s="5">
        <v>0</v>
      </c>
      <c r="P822" s="5">
        <v>0</v>
      </c>
      <c r="Q822" s="5">
        <v>0</v>
      </c>
      <c r="R822" s="5">
        <v>0</v>
      </c>
      <c r="S822" s="5">
        <v>0</v>
      </c>
      <c r="T822" s="5">
        <f t="shared" si="100"/>
        <v>11848</v>
      </c>
      <c r="U822" s="5">
        <f>SUM(S822:S822)</f>
        <v>0</v>
      </c>
      <c r="V822" s="5">
        <v>0</v>
      </c>
      <c r="W822" s="5">
        <v>0</v>
      </c>
      <c r="X822" s="5">
        <v>0</v>
      </c>
      <c r="Y822" s="5">
        <v>11848</v>
      </c>
      <c r="Z822" s="5">
        <f t="shared" si="101"/>
        <v>11848</v>
      </c>
      <c r="AA822" s="20">
        <f t="shared" si="99"/>
        <v>0</v>
      </c>
    </row>
    <row r="823" spans="1:27" ht="12.75">
      <c r="A823" s="3" t="s">
        <v>1751</v>
      </c>
      <c r="B823" s="3" t="s">
        <v>522</v>
      </c>
      <c r="C823" s="3" t="s">
        <v>523</v>
      </c>
      <c r="D823" s="3" t="s">
        <v>562</v>
      </c>
      <c r="E823" s="3" t="s">
        <v>526</v>
      </c>
      <c r="F823" s="3" t="s">
        <v>564</v>
      </c>
      <c r="G823" s="3" t="s">
        <v>1591</v>
      </c>
      <c r="H823" s="3" t="s">
        <v>1592</v>
      </c>
      <c r="I823" s="3" t="s">
        <v>563</v>
      </c>
      <c r="J823" s="4">
        <v>0</v>
      </c>
      <c r="K823" s="4">
        <v>0</v>
      </c>
      <c r="L823" s="4">
        <v>0</v>
      </c>
      <c r="M823" s="4">
        <v>0</v>
      </c>
      <c r="N823" s="5">
        <v>0</v>
      </c>
      <c r="O823" s="5">
        <v>0</v>
      </c>
      <c r="P823" s="5">
        <v>0</v>
      </c>
      <c r="Q823" s="5">
        <v>0</v>
      </c>
      <c r="R823" s="5">
        <v>0</v>
      </c>
      <c r="S823" s="5">
        <v>0</v>
      </c>
      <c r="T823" s="5">
        <f t="shared" si="100"/>
        <v>0</v>
      </c>
      <c r="U823" s="5">
        <v>3000</v>
      </c>
      <c r="V823" s="5">
        <v>0</v>
      </c>
      <c r="W823" s="5">
        <v>0</v>
      </c>
      <c r="X823" s="5">
        <v>0</v>
      </c>
      <c r="Y823" s="5">
        <v>3000</v>
      </c>
      <c r="Z823" s="5">
        <f t="shared" si="101"/>
        <v>3000</v>
      </c>
      <c r="AA823" s="20">
        <f t="shared" si="99"/>
        <v>0</v>
      </c>
    </row>
    <row r="824" spans="1:27" ht="12.75">
      <c r="A824" s="3" t="s">
        <v>1751</v>
      </c>
      <c r="B824" s="3" t="s">
        <v>522</v>
      </c>
      <c r="C824" s="3" t="s">
        <v>523</v>
      </c>
      <c r="D824" s="3" t="s">
        <v>565</v>
      </c>
      <c r="E824" s="3" t="s">
        <v>526</v>
      </c>
      <c r="F824" s="3" t="s">
        <v>566</v>
      </c>
      <c r="G824" s="3" t="s">
        <v>1591</v>
      </c>
      <c r="H824" s="3" t="s">
        <v>1592</v>
      </c>
      <c r="I824" s="3" t="s">
        <v>241</v>
      </c>
      <c r="J824" s="4">
        <v>0</v>
      </c>
      <c r="K824" s="4">
        <v>0</v>
      </c>
      <c r="L824" s="4">
        <v>0</v>
      </c>
      <c r="M824" s="4">
        <v>0</v>
      </c>
      <c r="N824" s="5">
        <v>0</v>
      </c>
      <c r="O824" s="5">
        <v>0</v>
      </c>
      <c r="P824" s="5">
        <v>0</v>
      </c>
      <c r="Q824" s="5">
        <v>0</v>
      </c>
      <c r="R824" s="5">
        <v>0</v>
      </c>
      <c r="S824" s="5">
        <v>0</v>
      </c>
      <c r="T824" s="5">
        <f t="shared" si="100"/>
        <v>0</v>
      </c>
      <c r="U824" s="5">
        <v>27000</v>
      </c>
      <c r="V824" s="5">
        <v>0</v>
      </c>
      <c r="W824" s="5">
        <v>0</v>
      </c>
      <c r="X824" s="5">
        <v>0</v>
      </c>
      <c r="Y824" s="5">
        <v>27000</v>
      </c>
      <c r="Z824" s="5">
        <f t="shared" si="101"/>
        <v>27000</v>
      </c>
      <c r="AA824" s="20">
        <f t="shared" si="99"/>
        <v>0</v>
      </c>
    </row>
    <row r="825" spans="1:27" ht="12.75">
      <c r="A825" s="3" t="s">
        <v>1751</v>
      </c>
      <c r="B825" s="3" t="s">
        <v>522</v>
      </c>
      <c r="C825" s="3" t="s">
        <v>523</v>
      </c>
      <c r="D825" s="3" t="s">
        <v>567</v>
      </c>
      <c r="E825" s="3" t="s">
        <v>526</v>
      </c>
      <c r="F825" s="3" t="s">
        <v>568</v>
      </c>
      <c r="G825" s="3" t="s">
        <v>1591</v>
      </c>
      <c r="H825" s="3" t="s">
        <v>1592</v>
      </c>
      <c r="I825" s="3" t="s">
        <v>1801</v>
      </c>
      <c r="J825" s="4">
        <v>0</v>
      </c>
      <c r="K825" s="4">
        <v>0</v>
      </c>
      <c r="L825" s="4">
        <v>0</v>
      </c>
      <c r="M825" s="4">
        <v>0</v>
      </c>
      <c r="N825" s="5">
        <v>0</v>
      </c>
      <c r="O825" s="5">
        <v>0</v>
      </c>
      <c r="P825" s="5">
        <v>0</v>
      </c>
      <c r="Q825" s="5">
        <v>0</v>
      </c>
      <c r="R825" s="5">
        <v>0</v>
      </c>
      <c r="S825" s="5">
        <v>0</v>
      </c>
      <c r="T825" s="5">
        <f t="shared" si="100"/>
        <v>0</v>
      </c>
      <c r="U825" s="5">
        <v>3000</v>
      </c>
      <c r="V825" s="5">
        <v>0</v>
      </c>
      <c r="W825" s="5">
        <v>0</v>
      </c>
      <c r="X825" s="5">
        <v>0</v>
      </c>
      <c r="Y825" s="5">
        <v>3000</v>
      </c>
      <c r="Z825" s="5">
        <f t="shared" si="101"/>
        <v>3000</v>
      </c>
      <c r="AA825" s="20">
        <f t="shared" si="99"/>
        <v>0</v>
      </c>
    </row>
    <row r="826" spans="1:27" ht="12.75">
      <c r="A826" s="3" t="s">
        <v>1751</v>
      </c>
      <c r="B826" s="3" t="s">
        <v>522</v>
      </c>
      <c r="C826" s="3" t="s">
        <v>523</v>
      </c>
      <c r="D826" s="3" t="s">
        <v>569</v>
      </c>
      <c r="E826" s="3" t="s">
        <v>526</v>
      </c>
      <c r="F826" s="3" t="s">
        <v>570</v>
      </c>
      <c r="G826" s="3" t="s">
        <v>1591</v>
      </c>
      <c r="H826" s="3" t="s">
        <v>1592</v>
      </c>
      <c r="I826" s="3" t="s">
        <v>1810</v>
      </c>
      <c r="J826" s="4">
        <v>0</v>
      </c>
      <c r="K826" s="4">
        <v>0</v>
      </c>
      <c r="L826" s="4">
        <v>0</v>
      </c>
      <c r="M826" s="4">
        <v>0</v>
      </c>
      <c r="N826" s="5">
        <v>0</v>
      </c>
      <c r="O826" s="5">
        <v>0</v>
      </c>
      <c r="P826" s="5">
        <v>0</v>
      </c>
      <c r="Q826" s="5">
        <v>0</v>
      </c>
      <c r="R826" s="5">
        <v>0</v>
      </c>
      <c r="S826" s="5">
        <v>0</v>
      </c>
      <c r="T826" s="5">
        <f t="shared" si="100"/>
        <v>0</v>
      </c>
      <c r="U826" s="5">
        <v>10000</v>
      </c>
      <c r="V826" s="5">
        <v>0</v>
      </c>
      <c r="W826" s="5">
        <v>0</v>
      </c>
      <c r="X826" s="5">
        <v>0</v>
      </c>
      <c r="Y826" s="5">
        <v>10000</v>
      </c>
      <c r="Z826" s="5">
        <f t="shared" si="101"/>
        <v>10000</v>
      </c>
      <c r="AA826" s="20">
        <f t="shared" si="99"/>
        <v>0</v>
      </c>
    </row>
    <row r="827" spans="1:27" ht="12.75">
      <c r="A827" s="3" t="s">
        <v>1751</v>
      </c>
      <c r="B827" s="3" t="s">
        <v>522</v>
      </c>
      <c r="C827" s="3" t="s">
        <v>523</v>
      </c>
      <c r="D827" s="3" t="s">
        <v>571</v>
      </c>
      <c r="E827" s="3" t="s">
        <v>526</v>
      </c>
      <c r="F827" s="3" t="s">
        <v>572</v>
      </c>
      <c r="G827" s="3" t="s">
        <v>1591</v>
      </c>
      <c r="H827" s="3" t="s">
        <v>1592</v>
      </c>
      <c r="I827" s="3" t="s">
        <v>1828</v>
      </c>
      <c r="J827" s="4">
        <v>0</v>
      </c>
      <c r="K827" s="4">
        <v>0</v>
      </c>
      <c r="L827" s="4">
        <v>0</v>
      </c>
      <c r="M827" s="4">
        <v>0</v>
      </c>
      <c r="N827" s="5">
        <v>0</v>
      </c>
      <c r="O827" s="5">
        <v>0</v>
      </c>
      <c r="P827" s="5">
        <v>0</v>
      </c>
      <c r="Q827" s="5">
        <v>0</v>
      </c>
      <c r="R827" s="5">
        <v>0</v>
      </c>
      <c r="S827" s="5">
        <v>0</v>
      </c>
      <c r="T827" s="5">
        <f t="shared" si="100"/>
        <v>0</v>
      </c>
      <c r="U827" s="5">
        <v>12000</v>
      </c>
      <c r="V827" s="5">
        <v>0</v>
      </c>
      <c r="W827" s="5">
        <v>0</v>
      </c>
      <c r="X827" s="5">
        <v>0</v>
      </c>
      <c r="Y827" s="5">
        <v>12000</v>
      </c>
      <c r="Z827" s="5">
        <f t="shared" si="101"/>
        <v>12000</v>
      </c>
      <c r="AA827" s="20">
        <f t="shared" si="99"/>
        <v>0</v>
      </c>
    </row>
    <row r="828" spans="1:27" ht="12.75">
      <c r="A828" s="3" t="s">
        <v>1751</v>
      </c>
      <c r="B828" s="3" t="s">
        <v>522</v>
      </c>
      <c r="C828" s="3" t="s">
        <v>523</v>
      </c>
      <c r="D828" s="3" t="s">
        <v>573</v>
      </c>
      <c r="E828" s="3" t="s">
        <v>526</v>
      </c>
      <c r="F828" s="3" t="s">
        <v>575</v>
      </c>
      <c r="G828" s="3" t="s">
        <v>1591</v>
      </c>
      <c r="H828" s="3" t="s">
        <v>1592</v>
      </c>
      <c r="I828" s="3" t="s">
        <v>574</v>
      </c>
      <c r="J828" s="4">
        <v>0</v>
      </c>
      <c r="K828" s="4">
        <v>0</v>
      </c>
      <c r="L828" s="4">
        <v>0</v>
      </c>
      <c r="M828" s="4">
        <v>0</v>
      </c>
      <c r="N828" s="5">
        <v>0</v>
      </c>
      <c r="O828" s="5">
        <v>0</v>
      </c>
      <c r="P828" s="5">
        <v>0</v>
      </c>
      <c r="Q828" s="5">
        <v>0</v>
      </c>
      <c r="R828" s="5">
        <v>0</v>
      </c>
      <c r="S828" s="5">
        <v>0</v>
      </c>
      <c r="T828" s="5">
        <f t="shared" si="100"/>
        <v>0</v>
      </c>
      <c r="U828" s="5">
        <v>5500</v>
      </c>
      <c r="V828" s="5">
        <v>0</v>
      </c>
      <c r="W828" s="5">
        <v>0</v>
      </c>
      <c r="X828" s="5">
        <v>0</v>
      </c>
      <c r="Y828" s="5">
        <v>5500</v>
      </c>
      <c r="Z828" s="5">
        <f t="shared" si="101"/>
        <v>5500</v>
      </c>
      <c r="AA828" s="20">
        <f t="shared" si="99"/>
        <v>0</v>
      </c>
    </row>
    <row r="829" spans="1:27" ht="12.75">
      <c r="A829" s="3" t="s">
        <v>1871</v>
      </c>
      <c r="B829" s="3" t="s">
        <v>522</v>
      </c>
      <c r="C829" s="3" t="s">
        <v>523</v>
      </c>
      <c r="D829" s="3" t="s">
        <v>576</v>
      </c>
      <c r="E829" s="3" t="s">
        <v>526</v>
      </c>
      <c r="F829" s="3" t="s">
        <v>578</v>
      </c>
      <c r="G829" s="3" t="s">
        <v>1591</v>
      </c>
      <c r="H829" s="3" t="s">
        <v>1592</v>
      </c>
      <c r="I829" s="3" t="s">
        <v>577</v>
      </c>
      <c r="J829" s="4">
        <v>0</v>
      </c>
      <c r="K829" s="4">
        <v>0</v>
      </c>
      <c r="L829" s="4">
        <v>0</v>
      </c>
      <c r="M829" s="4">
        <v>0</v>
      </c>
      <c r="N829" s="5">
        <v>0</v>
      </c>
      <c r="O829" s="5">
        <v>0</v>
      </c>
      <c r="P829" s="5">
        <v>3000</v>
      </c>
      <c r="Q829" s="5">
        <v>0</v>
      </c>
      <c r="R829" s="5">
        <v>0</v>
      </c>
      <c r="S829" s="5">
        <v>0</v>
      </c>
      <c r="T829" s="5">
        <f t="shared" si="100"/>
        <v>3000</v>
      </c>
      <c r="U829" s="5">
        <v>3000</v>
      </c>
      <c r="V829" s="5">
        <v>3000</v>
      </c>
      <c r="W829" s="5">
        <v>0</v>
      </c>
      <c r="X829" s="5">
        <v>3000</v>
      </c>
      <c r="Y829" s="5">
        <v>12000</v>
      </c>
      <c r="Z829" s="5">
        <f t="shared" si="101"/>
        <v>12000</v>
      </c>
      <c r="AA829" s="20">
        <f t="shared" si="99"/>
        <v>0</v>
      </c>
    </row>
    <row r="830" spans="1:27" ht="12.75">
      <c r="A830" s="3" t="s">
        <v>1871</v>
      </c>
      <c r="B830" s="3" t="s">
        <v>522</v>
      </c>
      <c r="C830" s="3" t="s">
        <v>523</v>
      </c>
      <c r="D830" s="3" t="s">
        <v>579</v>
      </c>
      <c r="E830" s="3" t="s">
        <v>526</v>
      </c>
      <c r="F830" s="3" t="s">
        <v>581</v>
      </c>
      <c r="G830" s="3" t="s">
        <v>1591</v>
      </c>
      <c r="H830" s="3" t="s">
        <v>1592</v>
      </c>
      <c r="I830" s="3" t="s">
        <v>628</v>
      </c>
      <c r="J830" s="4">
        <v>0</v>
      </c>
      <c r="K830" s="4">
        <v>0</v>
      </c>
      <c r="L830" s="4">
        <v>0</v>
      </c>
      <c r="M830" s="4">
        <v>0</v>
      </c>
      <c r="N830" s="5">
        <v>0</v>
      </c>
      <c r="O830" s="5">
        <v>0</v>
      </c>
      <c r="P830" s="5">
        <v>0</v>
      </c>
      <c r="Q830" s="5">
        <v>0</v>
      </c>
      <c r="R830" s="5">
        <v>0</v>
      </c>
      <c r="S830" s="5">
        <v>0</v>
      </c>
      <c r="T830" s="5">
        <f t="shared" si="100"/>
        <v>0</v>
      </c>
      <c r="U830" s="5">
        <v>50</v>
      </c>
      <c r="V830" s="5">
        <v>0</v>
      </c>
      <c r="W830" s="5">
        <v>0</v>
      </c>
      <c r="X830" s="5">
        <v>0</v>
      </c>
      <c r="Y830" s="5">
        <v>50</v>
      </c>
      <c r="Z830" s="5">
        <f t="shared" si="101"/>
        <v>50</v>
      </c>
      <c r="AA830" s="20">
        <f t="shared" si="99"/>
        <v>0</v>
      </c>
    </row>
    <row r="831" spans="1:27" ht="12.75">
      <c r="A831" s="3" t="s">
        <v>1871</v>
      </c>
      <c r="B831" s="3" t="s">
        <v>522</v>
      </c>
      <c r="C831" s="3" t="s">
        <v>523</v>
      </c>
      <c r="D831" s="3" t="s">
        <v>582</v>
      </c>
      <c r="E831" s="3" t="s">
        <v>526</v>
      </c>
      <c r="F831" s="3" t="s">
        <v>584</v>
      </c>
      <c r="G831" s="3" t="s">
        <v>1591</v>
      </c>
      <c r="H831" s="3" t="s">
        <v>1592</v>
      </c>
      <c r="I831" s="3" t="s">
        <v>583</v>
      </c>
      <c r="J831" s="4">
        <v>0</v>
      </c>
      <c r="K831" s="4">
        <v>0</v>
      </c>
      <c r="L831" s="4">
        <v>0</v>
      </c>
      <c r="M831" s="4">
        <v>0</v>
      </c>
      <c r="N831" s="5">
        <v>0</v>
      </c>
      <c r="O831" s="5">
        <v>0</v>
      </c>
      <c r="P831" s="5">
        <v>0</v>
      </c>
      <c r="Q831" s="5">
        <v>0</v>
      </c>
      <c r="R831" s="5">
        <v>0</v>
      </c>
      <c r="S831" s="5">
        <v>0</v>
      </c>
      <c r="T831" s="5">
        <f t="shared" si="100"/>
        <v>0</v>
      </c>
      <c r="U831" s="5">
        <v>750</v>
      </c>
      <c r="V831" s="5">
        <v>0</v>
      </c>
      <c r="W831" s="5">
        <v>0</v>
      </c>
      <c r="X831" s="5">
        <v>0</v>
      </c>
      <c r="Y831" s="5">
        <v>750</v>
      </c>
      <c r="Z831" s="5">
        <f t="shared" si="101"/>
        <v>750</v>
      </c>
      <c r="AA831" s="20">
        <f t="shared" si="99"/>
        <v>0</v>
      </c>
    </row>
    <row r="832" spans="1:27" ht="12.75">
      <c r="A832" s="3" t="s">
        <v>1871</v>
      </c>
      <c r="B832" s="3" t="s">
        <v>522</v>
      </c>
      <c r="C832" s="3" t="s">
        <v>523</v>
      </c>
      <c r="D832" s="3" t="s">
        <v>585</v>
      </c>
      <c r="E832" s="3" t="s">
        <v>526</v>
      </c>
      <c r="F832" s="3" t="s">
        <v>587</v>
      </c>
      <c r="G832" s="3" t="s">
        <v>1591</v>
      </c>
      <c r="H832" s="3" t="s">
        <v>1592</v>
      </c>
      <c r="I832" s="3" t="s">
        <v>586</v>
      </c>
      <c r="J832" s="4">
        <v>0</v>
      </c>
      <c r="K832" s="4">
        <v>0</v>
      </c>
      <c r="L832" s="4">
        <v>0</v>
      </c>
      <c r="M832" s="4">
        <v>0</v>
      </c>
      <c r="N832" s="5">
        <v>0</v>
      </c>
      <c r="O832" s="5">
        <v>0</v>
      </c>
      <c r="P832" s="5">
        <v>0</v>
      </c>
      <c r="Q832" s="5">
        <v>0</v>
      </c>
      <c r="R832" s="5">
        <v>0</v>
      </c>
      <c r="S832" s="5">
        <v>0</v>
      </c>
      <c r="T832" s="5">
        <f t="shared" si="100"/>
        <v>0</v>
      </c>
      <c r="U832" s="5">
        <v>95</v>
      </c>
      <c r="V832" s="5">
        <v>0</v>
      </c>
      <c r="W832" s="5">
        <v>0</v>
      </c>
      <c r="X832" s="5">
        <v>0</v>
      </c>
      <c r="Y832" s="5">
        <v>95</v>
      </c>
      <c r="Z832" s="5">
        <f t="shared" si="101"/>
        <v>95</v>
      </c>
      <c r="AA832" s="20">
        <f t="shared" si="99"/>
        <v>0</v>
      </c>
    </row>
    <row r="833" spans="1:27" ht="12.75">
      <c r="A833" s="3" t="s">
        <v>1871</v>
      </c>
      <c r="B833" s="3" t="s">
        <v>522</v>
      </c>
      <c r="C833" s="3" t="s">
        <v>523</v>
      </c>
      <c r="D833" s="3" t="s">
        <v>588</v>
      </c>
      <c r="E833" s="3" t="s">
        <v>526</v>
      </c>
      <c r="F833" s="3" t="s">
        <v>590</v>
      </c>
      <c r="G833" s="3" t="s">
        <v>1591</v>
      </c>
      <c r="H833" s="3" t="s">
        <v>1592</v>
      </c>
      <c r="I833" s="3" t="s">
        <v>589</v>
      </c>
      <c r="J833" s="4">
        <v>0</v>
      </c>
      <c r="K833" s="4">
        <v>0</v>
      </c>
      <c r="L833" s="4">
        <v>0</v>
      </c>
      <c r="M833" s="4">
        <v>0</v>
      </c>
      <c r="N833" s="5">
        <v>0</v>
      </c>
      <c r="O833" s="5">
        <v>0</v>
      </c>
      <c r="P833" s="5">
        <v>0</v>
      </c>
      <c r="Q833" s="5">
        <v>0</v>
      </c>
      <c r="R833" s="5">
        <v>0</v>
      </c>
      <c r="S833" s="5">
        <v>0</v>
      </c>
      <c r="T833" s="5">
        <f t="shared" si="100"/>
        <v>0</v>
      </c>
      <c r="U833" s="5">
        <v>10</v>
      </c>
      <c r="V833" s="5">
        <v>0</v>
      </c>
      <c r="W833" s="5">
        <v>0</v>
      </c>
      <c r="X833" s="5">
        <v>0</v>
      </c>
      <c r="Y833" s="5">
        <v>10</v>
      </c>
      <c r="Z833" s="5">
        <f t="shared" si="101"/>
        <v>10</v>
      </c>
      <c r="AA833" s="20">
        <f t="shared" si="99"/>
        <v>0</v>
      </c>
    </row>
    <row r="834" spans="1:27" ht="12.75">
      <c r="A834" s="3" t="s">
        <v>1871</v>
      </c>
      <c r="B834" s="3" t="s">
        <v>522</v>
      </c>
      <c r="C834" s="3" t="s">
        <v>523</v>
      </c>
      <c r="D834" s="3" t="s">
        <v>591</v>
      </c>
      <c r="E834" s="3" t="s">
        <v>526</v>
      </c>
      <c r="F834" s="3" t="s">
        <v>593</v>
      </c>
      <c r="G834" s="3" t="s">
        <v>1591</v>
      </c>
      <c r="H834" s="3" t="s">
        <v>1592</v>
      </c>
      <c r="I834" s="3" t="s">
        <v>592</v>
      </c>
      <c r="J834" s="4">
        <v>0</v>
      </c>
      <c r="K834" s="4">
        <v>0</v>
      </c>
      <c r="L834" s="4">
        <v>0</v>
      </c>
      <c r="M834" s="4">
        <v>0</v>
      </c>
      <c r="N834" s="5">
        <v>0</v>
      </c>
      <c r="O834" s="5">
        <v>0</v>
      </c>
      <c r="P834" s="5">
        <v>0</v>
      </c>
      <c r="Q834" s="5">
        <v>0</v>
      </c>
      <c r="R834" s="5">
        <v>0</v>
      </c>
      <c r="S834" s="5">
        <v>0</v>
      </c>
      <c r="T834" s="5">
        <f t="shared" si="100"/>
        <v>0</v>
      </c>
      <c r="U834" s="5">
        <v>400</v>
      </c>
      <c r="V834" s="5">
        <v>0</v>
      </c>
      <c r="W834" s="5">
        <v>0</v>
      </c>
      <c r="X834" s="5">
        <v>200</v>
      </c>
      <c r="Y834" s="5">
        <v>600</v>
      </c>
      <c r="Z834" s="5">
        <f t="shared" si="101"/>
        <v>600</v>
      </c>
      <c r="AA834" s="20">
        <f t="shared" si="99"/>
        <v>0</v>
      </c>
    </row>
    <row r="835" spans="1:27" ht="12.75">
      <c r="A835" s="3" t="s">
        <v>1871</v>
      </c>
      <c r="B835" s="3" t="s">
        <v>522</v>
      </c>
      <c r="C835" s="3" t="s">
        <v>523</v>
      </c>
      <c r="D835" s="3" t="s">
        <v>594</v>
      </c>
      <c r="E835" s="3" t="s">
        <v>526</v>
      </c>
      <c r="F835" s="3" t="s">
        <v>595</v>
      </c>
      <c r="G835" s="3" t="s">
        <v>1591</v>
      </c>
      <c r="H835" s="3" t="s">
        <v>1592</v>
      </c>
      <c r="I835" s="3" t="s">
        <v>284</v>
      </c>
      <c r="J835" s="4">
        <v>0</v>
      </c>
      <c r="K835" s="4">
        <v>0</v>
      </c>
      <c r="L835" s="4">
        <v>0</v>
      </c>
      <c r="M835" s="4">
        <v>0</v>
      </c>
      <c r="N835" s="5">
        <v>0</v>
      </c>
      <c r="O835" s="5">
        <v>0</v>
      </c>
      <c r="P835" s="5">
        <v>0</v>
      </c>
      <c r="Q835" s="5">
        <v>0</v>
      </c>
      <c r="R835" s="5">
        <v>0</v>
      </c>
      <c r="S835" s="5">
        <v>0</v>
      </c>
      <c r="T835" s="5">
        <f t="shared" si="100"/>
        <v>0</v>
      </c>
      <c r="U835" s="5">
        <v>1000</v>
      </c>
      <c r="V835" s="5">
        <v>0</v>
      </c>
      <c r="W835" s="5">
        <v>0</v>
      </c>
      <c r="X835" s="5">
        <v>0</v>
      </c>
      <c r="Y835" s="5">
        <v>1000</v>
      </c>
      <c r="Z835" s="5">
        <f t="shared" si="101"/>
        <v>1000</v>
      </c>
      <c r="AA835" s="20">
        <f t="shared" si="99"/>
        <v>0</v>
      </c>
    </row>
    <row r="836" spans="1:27" ht="12.75">
      <c r="A836" s="3" t="s">
        <v>1871</v>
      </c>
      <c r="B836" s="3" t="s">
        <v>522</v>
      </c>
      <c r="C836" s="3" t="s">
        <v>523</v>
      </c>
      <c r="D836" s="3" t="s">
        <v>596</v>
      </c>
      <c r="E836" s="3" t="s">
        <v>526</v>
      </c>
      <c r="F836" s="3" t="s">
        <v>673</v>
      </c>
      <c r="G836" s="3" t="s">
        <v>1591</v>
      </c>
      <c r="H836" s="3" t="s">
        <v>1592</v>
      </c>
      <c r="I836" s="3" t="s">
        <v>672</v>
      </c>
      <c r="J836" s="4">
        <v>0</v>
      </c>
      <c r="K836" s="4">
        <v>0</v>
      </c>
      <c r="L836" s="4">
        <v>0</v>
      </c>
      <c r="M836" s="4">
        <v>0</v>
      </c>
      <c r="N836" s="5">
        <v>0</v>
      </c>
      <c r="O836" s="5">
        <v>0</v>
      </c>
      <c r="P836" s="5">
        <v>0</v>
      </c>
      <c r="Q836" s="5">
        <v>0</v>
      </c>
      <c r="R836" s="5">
        <v>0</v>
      </c>
      <c r="S836" s="5">
        <v>833</v>
      </c>
      <c r="T836" s="5">
        <f t="shared" si="100"/>
        <v>0</v>
      </c>
      <c r="U836" s="5">
        <f>SUM(S836:S836)</f>
        <v>833</v>
      </c>
      <c r="V836" s="5">
        <v>0</v>
      </c>
      <c r="W836" s="5">
        <v>0</v>
      </c>
      <c r="X836" s="5">
        <v>0</v>
      </c>
      <c r="Y836" s="5">
        <v>833</v>
      </c>
      <c r="Z836" s="5">
        <f t="shared" si="101"/>
        <v>833</v>
      </c>
      <c r="AA836" s="20">
        <f t="shared" si="99"/>
        <v>0</v>
      </c>
    </row>
    <row r="837" spans="1:27" ht="12.75">
      <c r="A837" s="3" t="s">
        <v>1908</v>
      </c>
      <c r="B837" s="3" t="s">
        <v>522</v>
      </c>
      <c r="C837" s="3" t="s">
        <v>523</v>
      </c>
      <c r="D837" s="3" t="s">
        <v>674</v>
      </c>
      <c r="E837" s="3" t="s">
        <v>526</v>
      </c>
      <c r="F837" s="3" t="s">
        <v>676</v>
      </c>
      <c r="G837" s="3" t="s">
        <v>1591</v>
      </c>
      <c r="H837" s="3" t="s">
        <v>1592</v>
      </c>
      <c r="I837" s="3" t="s">
        <v>675</v>
      </c>
      <c r="J837" s="4">
        <v>0</v>
      </c>
      <c r="K837" s="4">
        <v>0</v>
      </c>
      <c r="L837" s="4">
        <v>2</v>
      </c>
      <c r="M837" s="4">
        <v>0</v>
      </c>
      <c r="N837" s="5">
        <v>37952</v>
      </c>
      <c r="O837" s="5">
        <v>0</v>
      </c>
      <c r="P837" s="5">
        <v>28968</v>
      </c>
      <c r="Q837" s="5">
        <v>1400</v>
      </c>
      <c r="R837" s="5">
        <v>780</v>
      </c>
      <c r="S837" s="5">
        <v>0</v>
      </c>
      <c r="T837" s="5">
        <f t="shared" si="100"/>
        <v>69100</v>
      </c>
      <c r="U837" s="5">
        <v>33504</v>
      </c>
      <c r="V837" s="5">
        <v>0</v>
      </c>
      <c r="W837" s="5">
        <v>0</v>
      </c>
      <c r="X837" s="5">
        <v>4082</v>
      </c>
      <c r="Y837" s="5">
        <v>106686</v>
      </c>
      <c r="Z837" s="5">
        <f t="shared" si="101"/>
        <v>106686</v>
      </c>
      <c r="AA837" s="20">
        <f t="shared" si="99"/>
        <v>0</v>
      </c>
    </row>
    <row r="838" spans="1:27" ht="12.75">
      <c r="A838" s="3" t="s">
        <v>1908</v>
      </c>
      <c r="B838" s="3" t="s">
        <v>522</v>
      </c>
      <c r="C838" s="3" t="s">
        <v>523</v>
      </c>
      <c r="D838" s="3" t="s">
        <v>677</v>
      </c>
      <c r="E838" s="3" t="s">
        <v>526</v>
      </c>
      <c r="F838" s="3" t="s">
        <v>679</v>
      </c>
      <c r="G838" s="3" t="s">
        <v>1591</v>
      </c>
      <c r="H838" s="3" t="s">
        <v>1592</v>
      </c>
      <c r="I838" s="3" t="s">
        <v>678</v>
      </c>
      <c r="J838" s="4">
        <v>0</v>
      </c>
      <c r="K838" s="4">
        <v>0</v>
      </c>
      <c r="L838" s="4">
        <v>0</v>
      </c>
      <c r="M838" s="4">
        <v>0</v>
      </c>
      <c r="N838" s="5">
        <v>0</v>
      </c>
      <c r="O838" s="5">
        <v>0</v>
      </c>
      <c r="P838" s="5">
        <v>10000</v>
      </c>
      <c r="Q838" s="5">
        <v>5000</v>
      </c>
      <c r="R838" s="5">
        <v>105</v>
      </c>
      <c r="S838" s="5">
        <v>0</v>
      </c>
      <c r="T838" s="5">
        <f t="shared" si="100"/>
        <v>15105</v>
      </c>
      <c r="U838" s="5">
        <v>50000</v>
      </c>
      <c r="V838" s="5">
        <v>5000</v>
      </c>
      <c r="W838" s="5">
        <v>0</v>
      </c>
      <c r="X838" s="5">
        <v>3000</v>
      </c>
      <c r="Y838" s="5">
        <v>73105</v>
      </c>
      <c r="Z838" s="5">
        <f t="shared" si="101"/>
        <v>73105</v>
      </c>
      <c r="AA838" s="20">
        <f t="shared" si="99"/>
        <v>0</v>
      </c>
    </row>
    <row r="839" spans="1:27" ht="12.75">
      <c r="A839" s="3" t="s">
        <v>1908</v>
      </c>
      <c r="B839" s="3" t="s">
        <v>522</v>
      </c>
      <c r="C839" s="3" t="s">
        <v>523</v>
      </c>
      <c r="D839" s="3" t="s">
        <v>680</v>
      </c>
      <c r="E839" s="3" t="s">
        <v>526</v>
      </c>
      <c r="F839" s="3" t="s">
        <v>681</v>
      </c>
      <c r="G839" s="3" t="s">
        <v>1591</v>
      </c>
      <c r="H839" s="3" t="s">
        <v>1592</v>
      </c>
      <c r="I839" s="3" t="s">
        <v>1928</v>
      </c>
      <c r="J839" s="4">
        <v>0</v>
      </c>
      <c r="K839" s="4">
        <v>0</v>
      </c>
      <c r="L839" s="4">
        <v>0</v>
      </c>
      <c r="M839" s="4">
        <v>0</v>
      </c>
      <c r="N839" s="5">
        <v>0</v>
      </c>
      <c r="O839" s="5">
        <v>0</v>
      </c>
      <c r="P839" s="5">
        <v>0</v>
      </c>
      <c r="Q839" s="5">
        <v>0</v>
      </c>
      <c r="R839" s="5">
        <v>0</v>
      </c>
      <c r="S839" s="5">
        <v>0</v>
      </c>
      <c r="T839" s="5">
        <f t="shared" si="100"/>
        <v>0</v>
      </c>
      <c r="U839" s="5">
        <f>SUM(S839:S839)</f>
        <v>0</v>
      </c>
      <c r="V839" s="5">
        <v>1750</v>
      </c>
      <c r="W839" s="5">
        <v>0</v>
      </c>
      <c r="X839" s="5">
        <v>300</v>
      </c>
      <c r="Y839" s="5">
        <v>2050</v>
      </c>
      <c r="Z839" s="5">
        <f t="shared" si="101"/>
        <v>2050</v>
      </c>
      <c r="AA839" s="20">
        <f t="shared" si="99"/>
        <v>0</v>
      </c>
    </row>
    <row r="840" spans="1:27" ht="12.75">
      <c r="A840" s="3" t="s">
        <v>1908</v>
      </c>
      <c r="B840" s="3" t="s">
        <v>522</v>
      </c>
      <c r="C840" s="3" t="s">
        <v>523</v>
      </c>
      <c r="D840" s="3" t="s">
        <v>682</v>
      </c>
      <c r="E840" s="3" t="s">
        <v>526</v>
      </c>
      <c r="F840" s="3" t="s">
        <v>684</v>
      </c>
      <c r="G840" s="3" t="s">
        <v>1591</v>
      </c>
      <c r="H840" s="3" t="s">
        <v>1592</v>
      </c>
      <c r="I840" s="3" t="s">
        <v>683</v>
      </c>
      <c r="J840" s="4">
        <v>0</v>
      </c>
      <c r="K840" s="4">
        <v>0</v>
      </c>
      <c r="L840" s="4">
        <v>0</v>
      </c>
      <c r="M840" s="4">
        <v>0</v>
      </c>
      <c r="N840" s="5">
        <v>0</v>
      </c>
      <c r="O840" s="5">
        <v>0</v>
      </c>
      <c r="P840" s="5">
        <v>0</v>
      </c>
      <c r="Q840" s="5">
        <v>0</v>
      </c>
      <c r="R840" s="5">
        <v>0</v>
      </c>
      <c r="S840" s="5">
        <v>0</v>
      </c>
      <c r="T840" s="5">
        <f t="shared" si="100"/>
        <v>0</v>
      </c>
      <c r="U840" s="5">
        <f>SUM(S840:S840)</f>
        <v>0</v>
      </c>
      <c r="V840" s="5">
        <v>1000</v>
      </c>
      <c r="W840" s="5">
        <v>0</v>
      </c>
      <c r="X840" s="5">
        <v>0</v>
      </c>
      <c r="Y840" s="5">
        <v>1000</v>
      </c>
      <c r="Z840" s="5">
        <f t="shared" si="101"/>
        <v>1000</v>
      </c>
      <c r="AA840" s="20">
        <f t="shared" si="99"/>
        <v>0</v>
      </c>
    </row>
    <row r="841" spans="1:27" ht="12.75">
      <c r="A841" s="3" t="s">
        <v>1936</v>
      </c>
      <c r="B841" s="3" t="s">
        <v>522</v>
      </c>
      <c r="C841" s="3" t="s">
        <v>523</v>
      </c>
      <c r="D841" s="3" t="s">
        <v>685</v>
      </c>
      <c r="E841" s="3" t="s">
        <v>526</v>
      </c>
      <c r="F841" s="3" t="s">
        <v>687</v>
      </c>
      <c r="G841" s="3" t="s">
        <v>1591</v>
      </c>
      <c r="H841" s="3" t="s">
        <v>1592</v>
      </c>
      <c r="I841" s="3" t="s">
        <v>629</v>
      </c>
      <c r="J841" s="4">
        <v>0</v>
      </c>
      <c r="K841" s="4">
        <v>0</v>
      </c>
      <c r="L841" s="4">
        <v>0</v>
      </c>
      <c r="M841" s="4">
        <v>0</v>
      </c>
      <c r="N841" s="5">
        <v>0</v>
      </c>
      <c r="O841" s="5">
        <v>0</v>
      </c>
      <c r="P841" s="5">
        <v>0</v>
      </c>
      <c r="Q841" s="5">
        <v>0</v>
      </c>
      <c r="R841" s="5">
        <v>0</v>
      </c>
      <c r="S841" s="5">
        <v>0</v>
      </c>
      <c r="T841" s="5">
        <f t="shared" si="100"/>
        <v>0</v>
      </c>
      <c r="U841" s="5">
        <v>200</v>
      </c>
      <c r="V841" s="5">
        <v>0</v>
      </c>
      <c r="W841" s="5">
        <v>0</v>
      </c>
      <c r="X841" s="5">
        <v>0</v>
      </c>
      <c r="Y841" s="5">
        <v>200</v>
      </c>
      <c r="Z841" s="5">
        <f t="shared" si="101"/>
        <v>200</v>
      </c>
      <c r="AA841" s="20">
        <f t="shared" si="99"/>
        <v>0</v>
      </c>
    </row>
    <row r="842" spans="1:27" ht="12.75">
      <c r="A842" s="3" t="s">
        <v>1936</v>
      </c>
      <c r="B842" s="3" t="s">
        <v>522</v>
      </c>
      <c r="C842" s="3" t="s">
        <v>523</v>
      </c>
      <c r="D842" s="3" t="s">
        <v>688</v>
      </c>
      <c r="E842" s="3" t="s">
        <v>526</v>
      </c>
      <c r="F842" s="3" t="s">
        <v>689</v>
      </c>
      <c r="G842" s="3" t="s">
        <v>1591</v>
      </c>
      <c r="H842" s="3" t="s">
        <v>1592</v>
      </c>
      <c r="I842" s="3" t="s">
        <v>1947</v>
      </c>
      <c r="J842" s="4">
        <v>0</v>
      </c>
      <c r="K842" s="4">
        <v>0</v>
      </c>
      <c r="L842" s="4">
        <v>0</v>
      </c>
      <c r="M842" s="4">
        <v>0</v>
      </c>
      <c r="N842" s="5">
        <v>0</v>
      </c>
      <c r="O842" s="5">
        <v>0</v>
      </c>
      <c r="P842" s="5">
        <v>0</v>
      </c>
      <c r="Q842" s="5">
        <v>0</v>
      </c>
      <c r="R842" s="5">
        <v>0</v>
      </c>
      <c r="S842" s="5">
        <v>3500</v>
      </c>
      <c r="T842" s="5">
        <f t="shared" si="100"/>
        <v>0</v>
      </c>
      <c r="U842" s="5">
        <f>2400+3500</f>
        <v>5900</v>
      </c>
      <c r="V842" s="5">
        <v>0</v>
      </c>
      <c r="W842" s="5">
        <v>0</v>
      </c>
      <c r="X842" s="5">
        <v>0</v>
      </c>
      <c r="Y842" s="5">
        <v>5900</v>
      </c>
      <c r="Z842" s="5">
        <f t="shared" si="101"/>
        <v>5900</v>
      </c>
      <c r="AA842" s="20">
        <f t="shared" si="99"/>
        <v>0</v>
      </c>
    </row>
    <row r="843" spans="1:27" ht="12.75">
      <c r="A843" s="3" t="s">
        <v>1936</v>
      </c>
      <c r="B843" s="3" t="s">
        <v>522</v>
      </c>
      <c r="C843" s="3" t="s">
        <v>523</v>
      </c>
      <c r="D843" s="3" t="s">
        <v>690</v>
      </c>
      <c r="E843" s="3" t="s">
        <v>526</v>
      </c>
      <c r="F843" s="3" t="s">
        <v>691</v>
      </c>
      <c r="G843" s="3" t="s">
        <v>1591</v>
      </c>
      <c r="H843" s="3" t="s">
        <v>1592</v>
      </c>
      <c r="I843" s="3" t="s">
        <v>1959</v>
      </c>
      <c r="J843" s="4">
        <v>0</v>
      </c>
      <c r="K843" s="4">
        <v>0</v>
      </c>
      <c r="L843" s="4">
        <v>0</v>
      </c>
      <c r="M843" s="4">
        <v>0</v>
      </c>
      <c r="N843" s="5">
        <v>0</v>
      </c>
      <c r="O843" s="5">
        <v>0</v>
      </c>
      <c r="P843" s="5">
        <v>0</v>
      </c>
      <c r="Q843" s="5">
        <v>0</v>
      </c>
      <c r="R843" s="5">
        <v>0</v>
      </c>
      <c r="S843" s="5">
        <v>0</v>
      </c>
      <c r="T843" s="5">
        <f t="shared" si="100"/>
        <v>0</v>
      </c>
      <c r="U843" s="5">
        <v>9000</v>
      </c>
      <c r="V843" s="5">
        <v>0</v>
      </c>
      <c r="W843" s="5">
        <v>0</v>
      </c>
      <c r="X843" s="5">
        <v>0</v>
      </c>
      <c r="Y843" s="5">
        <v>9000</v>
      </c>
      <c r="Z843" s="5">
        <f t="shared" si="101"/>
        <v>9000</v>
      </c>
      <c r="AA843" s="20">
        <f t="shared" si="99"/>
        <v>0</v>
      </c>
    </row>
    <row r="844" spans="1:27" ht="12.75">
      <c r="A844" s="3" t="s">
        <v>1936</v>
      </c>
      <c r="B844" s="3" t="s">
        <v>522</v>
      </c>
      <c r="C844" s="3" t="s">
        <v>523</v>
      </c>
      <c r="D844" s="3" t="s">
        <v>692</v>
      </c>
      <c r="E844" s="3" t="s">
        <v>526</v>
      </c>
      <c r="F844" s="3" t="s">
        <v>694</v>
      </c>
      <c r="G844" s="3" t="s">
        <v>1591</v>
      </c>
      <c r="H844" s="3" t="s">
        <v>1592</v>
      </c>
      <c r="I844" s="3" t="s">
        <v>693</v>
      </c>
      <c r="J844" s="4">
        <v>0</v>
      </c>
      <c r="K844" s="4">
        <v>0</v>
      </c>
      <c r="L844" s="4">
        <v>0</v>
      </c>
      <c r="M844" s="4">
        <v>0</v>
      </c>
      <c r="N844" s="5">
        <v>0</v>
      </c>
      <c r="O844" s="5">
        <v>0</v>
      </c>
      <c r="P844" s="5">
        <v>0</v>
      </c>
      <c r="Q844" s="5">
        <v>0</v>
      </c>
      <c r="R844" s="5">
        <v>0</v>
      </c>
      <c r="S844" s="5">
        <v>0</v>
      </c>
      <c r="T844" s="5">
        <f t="shared" si="100"/>
        <v>0</v>
      </c>
      <c r="U844" s="5">
        <v>800</v>
      </c>
      <c r="V844" s="5">
        <v>0</v>
      </c>
      <c r="W844" s="5">
        <v>0</v>
      </c>
      <c r="X844" s="5">
        <v>1000</v>
      </c>
      <c r="Y844" s="5">
        <v>1800</v>
      </c>
      <c r="Z844" s="5">
        <f t="shared" si="101"/>
        <v>1800</v>
      </c>
      <c r="AA844" s="20">
        <f t="shared" si="99"/>
        <v>0</v>
      </c>
    </row>
    <row r="845" spans="1:27" ht="12.75">
      <c r="A845" s="3" t="s">
        <v>1751</v>
      </c>
      <c r="B845" s="3" t="s">
        <v>522</v>
      </c>
      <c r="C845" s="3" t="s">
        <v>523</v>
      </c>
      <c r="D845" s="3" t="s">
        <v>695</v>
      </c>
      <c r="E845" s="3" t="s">
        <v>526</v>
      </c>
      <c r="F845" s="3" t="s">
        <v>697</v>
      </c>
      <c r="G845" s="3" t="s">
        <v>1591</v>
      </c>
      <c r="H845" s="3" t="s">
        <v>1592</v>
      </c>
      <c r="I845" s="3" t="s">
        <v>696</v>
      </c>
      <c r="J845" s="4">
        <v>0</v>
      </c>
      <c r="K845" s="4">
        <v>0</v>
      </c>
      <c r="L845" s="4">
        <v>0</v>
      </c>
      <c r="M845" s="4">
        <v>0</v>
      </c>
      <c r="N845" s="5">
        <v>0</v>
      </c>
      <c r="O845" s="5">
        <v>0</v>
      </c>
      <c r="P845" s="5">
        <v>0</v>
      </c>
      <c r="Q845" s="5">
        <v>0</v>
      </c>
      <c r="R845" s="5">
        <v>0</v>
      </c>
      <c r="S845" s="5">
        <v>0</v>
      </c>
      <c r="T845" s="5">
        <f t="shared" si="100"/>
        <v>0</v>
      </c>
      <c r="U845" s="5">
        <v>648</v>
      </c>
      <c r="V845" s="5">
        <v>0</v>
      </c>
      <c r="W845" s="5">
        <v>0</v>
      </c>
      <c r="X845" s="5">
        <v>0</v>
      </c>
      <c r="Y845" s="5">
        <v>648</v>
      </c>
      <c r="Z845" s="5">
        <f t="shared" si="101"/>
        <v>648</v>
      </c>
      <c r="AA845" s="20">
        <f t="shared" si="99"/>
        <v>0</v>
      </c>
    </row>
    <row r="846" spans="1:27" ht="12.75">
      <c r="A846" s="3" t="s">
        <v>1871</v>
      </c>
      <c r="B846" s="3" t="s">
        <v>522</v>
      </c>
      <c r="C846" s="3" t="s">
        <v>523</v>
      </c>
      <c r="D846" s="3" t="s">
        <v>698</v>
      </c>
      <c r="E846" s="3" t="s">
        <v>526</v>
      </c>
      <c r="F846" s="3" t="s">
        <v>700</v>
      </c>
      <c r="G846" s="3" t="s">
        <v>1591</v>
      </c>
      <c r="H846" s="3" t="s">
        <v>1592</v>
      </c>
      <c r="I846" s="3" t="s">
        <v>699</v>
      </c>
      <c r="J846" s="4">
        <v>0</v>
      </c>
      <c r="K846" s="4">
        <v>0</v>
      </c>
      <c r="L846" s="4">
        <v>0</v>
      </c>
      <c r="M846" s="4">
        <v>0</v>
      </c>
      <c r="N846" s="5">
        <v>0</v>
      </c>
      <c r="O846" s="5">
        <v>0</v>
      </c>
      <c r="P846" s="5">
        <v>0</v>
      </c>
      <c r="Q846" s="5">
        <v>0</v>
      </c>
      <c r="R846" s="5">
        <v>0</v>
      </c>
      <c r="S846" s="5">
        <v>0</v>
      </c>
      <c r="T846" s="5">
        <f t="shared" si="100"/>
        <v>0</v>
      </c>
      <c r="U846" s="5">
        <v>2500</v>
      </c>
      <c r="V846" s="5">
        <v>0</v>
      </c>
      <c r="W846" s="5">
        <v>0</v>
      </c>
      <c r="X846" s="5">
        <v>0</v>
      </c>
      <c r="Y846" s="5">
        <v>2500</v>
      </c>
      <c r="Z846" s="5">
        <f t="shared" si="101"/>
        <v>2500</v>
      </c>
      <c r="AA846" s="20">
        <f t="shared" si="99"/>
        <v>0</v>
      </c>
    </row>
    <row r="847" spans="1:27" ht="12.75">
      <c r="A847" s="3" t="s">
        <v>2698</v>
      </c>
      <c r="B847" s="3" t="s">
        <v>1461</v>
      </c>
      <c r="C847" s="3" t="s">
        <v>1462</v>
      </c>
      <c r="D847" s="3" t="s">
        <v>1466</v>
      </c>
      <c r="E847" s="3" t="s">
        <v>526</v>
      </c>
      <c r="F847" s="3" t="s">
        <v>1468</v>
      </c>
      <c r="G847" s="3" t="s">
        <v>1591</v>
      </c>
      <c r="H847" s="3" t="s">
        <v>1592</v>
      </c>
      <c r="I847" s="3" t="s">
        <v>1467</v>
      </c>
      <c r="J847" s="4">
        <v>0</v>
      </c>
      <c r="K847" s="4">
        <v>0</v>
      </c>
      <c r="L847" s="4">
        <v>2</v>
      </c>
      <c r="M847" s="4">
        <v>2</v>
      </c>
      <c r="N847" s="5">
        <v>132444</v>
      </c>
      <c r="O847" s="5">
        <v>0</v>
      </c>
      <c r="P847" s="5">
        <v>5000</v>
      </c>
      <c r="Q847" s="5">
        <v>0</v>
      </c>
      <c r="R847" s="5">
        <v>30614</v>
      </c>
      <c r="S847" s="5">
        <v>0</v>
      </c>
      <c r="T847" s="5">
        <f t="shared" si="100"/>
        <v>168058</v>
      </c>
      <c r="U847" s="5">
        <v>126915</v>
      </c>
      <c r="V847" s="5">
        <v>0</v>
      </c>
      <c r="W847" s="5">
        <v>0</v>
      </c>
      <c r="X847" s="5">
        <v>10500</v>
      </c>
      <c r="Y847" s="5">
        <v>305473</v>
      </c>
      <c r="Z847" s="5">
        <f t="shared" si="101"/>
        <v>305473</v>
      </c>
      <c r="AA847" s="20">
        <f t="shared" si="99"/>
        <v>0</v>
      </c>
    </row>
    <row r="848" spans="1:27" ht="12.75">
      <c r="A848" s="3" t="s">
        <v>1936</v>
      </c>
      <c r="B848" s="3" t="s">
        <v>522</v>
      </c>
      <c r="C848" s="3" t="s">
        <v>523</v>
      </c>
      <c r="D848" s="3" t="s">
        <v>701</v>
      </c>
      <c r="E848" s="3" t="s">
        <v>526</v>
      </c>
      <c r="F848" s="3" t="s">
        <v>703</v>
      </c>
      <c r="G848" s="3" t="s">
        <v>1591</v>
      </c>
      <c r="H848" s="3" t="s">
        <v>1592</v>
      </c>
      <c r="I848" s="3" t="s">
        <v>702</v>
      </c>
      <c r="J848" s="4">
        <v>0</v>
      </c>
      <c r="K848" s="4">
        <v>0</v>
      </c>
      <c r="L848" s="4">
        <v>0</v>
      </c>
      <c r="M848" s="4">
        <v>0</v>
      </c>
      <c r="N848" s="5">
        <v>0</v>
      </c>
      <c r="O848" s="5">
        <v>0</v>
      </c>
      <c r="P848" s="5">
        <v>0</v>
      </c>
      <c r="Q848" s="5">
        <v>0</v>
      </c>
      <c r="R848" s="5">
        <v>0</v>
      </c>
      <c r="S848" s="5">
        <v>0</v>
      </c>
      <c r="T848" s="5">
        <f t="shared" si="100"/>
        <v>0</v>
      </c>
      <c r="U848" s="5">
        <v>17000</v>
      </c>
      <c r="V848" s="5">
        <v>0</v>
      </c>
      <c r="W848" s="5">
        <v>0</v>
      </c>
      <c r="X848" s="5">
        <v>5000</v>
      </c>
      <c r="Y848" s="5">
        <v>22000</v>
      </c>
      <c r="Z848" s="5">
        <f t="shared" si="101"/>
        <v>22000</v>
      </c>
      <c r="AA848" s="20">
        <f t="shared" si="99"/>
        <v>0</v>
      </c>
    </row>
    <row r="849" spans="1:27" ht="12.75">
      <c r="A849" s="3" t="s">
        <v>1871</v>
      </c>
      <c r="B849" s="3" t="s">
        <v>522</v>
      </c>
      <c r="C849" s="3" t="s">
        <v>523</v>
      </c>
      <c r="D849" s="3" t="s">
        <v>704</v>
      </c>
      <c r="E849" s="3" t="s">
        <v>526</v>
      </c>
      <c r="F849" s="3" t="s">
        <v>706</v>
      </c>
      <c r="G849" s="3" t="s">
        <v>1591</v>
      </c>
      <c r="H849" s="3" t="s">
        <v>1592</v>
      </c>
      <c r="I849" s="3" t="s">
        <v>705</v>
      </c>
      <c r="J849" s="4">
        <v>0</v>
      </c>
      <c r="K849" s="4">
        <v>0</v>
      </c>
      <c r="L849" s="4">
        <v>0</v>
      </c>
      <c r="M849" s="4">
        <v>0</v>
      </c>
      <c r="N849" s="5">
        <v>0</v>
      </c>
      <c r="O849" s="5">
        <v>0</v>
      </c>
      <c r="P849" s="5">
        <v>0</v>
      </c>
      <c r="Q849" s="5">
        <v>0</v>
      </c>
      <c r="R849" s="5">
        <v>0</v>
      </c>
      <c r="S849" s="5">
        <v>73</v>
      </c>
      <c r="T849" s="5">
        <f t="shared" si="100"/>
        <v>0</v>
      </c>
      <c r="U849" s="5">
        <f>SUM(S849:S849)</f>
        <v>73</v>
      </c>
      <c r="V849" s="5">
        <v>0</v>
      </c>
      <c r="W849" s="5">
        <v>0</v>
      </c>
      <c r="X849" s="5">
        <v>0</v>
      </c>
      <c r="Y849" s="5">
        <v>73</v>
      </c>
      <c r="Z849" s="5">
        <f t="shared" si="101"/>
        <v>73</v>
      </c>
      <c r="AA849" s="20">
        <f t="shared" si="99"/>
        <v>0</v>
      </c>
    </row>
    <row r="850" spans="1:27" ht="12.75">
      <c r="A850" s="3" t="s">
        <v>1936</v>
      </c>
      <c r="B850" s="3" t="s">
        <v>522</v>
      </c>
      <c r="C850" s="3" t="s">
        <v>523</v>
      </c>
      <c r="D850" s="3" t="s">
        <v>707</v>
      </c>
      <c r="E850" s="3" t="s">
        <v>526</v>
      </c>
      <c r="F850" s="3" t="s">
        <v>709</v>
      </c>
      <c r="G850" s="3" t="s">
        <v>1591</v>
      </c>
      <c r="H850" s="3" t="s">
        <v>1592</v>
      </c>
      <c r="I850" s="3" t="s">
        <v>630</v>
      </c>
      <c r="J850" s="4">
        <v>0</v>
      </c>
      <c r="K850" s="4">
        <v>0</v>
      </c>
      <c r="L850" s="4">
        <v>0</v>
      </c>
      <c r="M850" s="4">
        <v>0</v>
      </c>
      <c r="N850" s="5">
        <v>0</v>
      </c>
      <c r="O850" s="5">
        <v>0</v>
      </c>
      <c r="P850" s="5">
        <v>0</v>
      </c>
      <c r="Q850" s="5">
        <v>13000</v>
      </c>
      <c r="R850" s="5">
        <v>0</v>
      </c>
      <c r="S850" s="5">
        <v>0</v>
      </c>
      <c r="T850" s="5">
        <f t="shared" si="100"/>
        <v>13000</v>
      </c>
      <c r="U850" s="5">
        <v>5000</v>
      </c>
      <c r="V850" s="5">
        <v>0</v>
      </c>
      <c r="W850" s="5">
        <v>0</v>
      </c>
      <c r="X850" s="5">
        <v>0</v>
      </c>
      <c r="Y850" s="5">
        <v>18000</v>
      </c>
      <c r="Z850" s="5">
        <f t="shared" si="101"/>
        <v>18000</v>
      </c>
      <c r="AA850" s="20">
        <f t="shared" si="99"/>
        <v>0</v>
      </c>
    </row>
    <row r="851" spans="1:27" ht="12.75">
      <c r="A851" s="3" t="s">
        <v>1964</v>
      </c>
      <c r="B851" s="3" t="s">
        <v>522</v>
      </c>
      <c r="C851" s="3" t="s">
        <v>523</v>
      </c>
      <c r="D851" s="3" t="s">
        <v>710</v>
      </c>
      <c r="E851" s="3" t="s">
        <v>526</v>
      </c>
      <c r="F851" s="3" t="s">
        <v>712</v>
      </c>
      <c r="G851" s="3" t="s">
        <v>1591</v>
      </c>
      <c r="H851" s="3" t="s">
        <v>1592</v>
      </c>
      <c r="I851" s="3" t="s">
        <v>711</v>
      </c>
      <c r="J851" s="4">
        <v>0</v>
      </c>
      <c r="K851" s="4">
        <v>0</v>
      </c>
      <c r="L851" s="4">
        <v>0</v>
      </c>
      <c r="M851" s="4">
        <v>0</v>
      </c>
      <c r="N851" s="5">
        <v>0</v>
      </c>
      <c r="O851" s="5">
        <v>0</v>
      </c>
      <c r="P851" s="5">
        <v>0</v>
      </c>
      <c r="Q851" s="5">
        <v>0</v>
      </c>
      <c r="R851" s="5">
        <v>0</v>
      </c>
      <c r="S851" s="5">
        <v>0</v>
      </c>
      <c r="T851" s="5">
        <f t="shared" si="100"/>
        <v>0</v>
      </c>
      <c r="U851" s="5">
        <v>500</v>
      </c>
      <c r="V851" s="5">
        <v>0</v>
      </c>
      <c r="W851" s="5">
        <v>0</v>
      </c>
      <c r="X851" s="5">
        <v>0</v>
      </c>
      <c r="Y851" s="5">
        <v>500</v>
      </c>
      <c r="Z851" s="5">
        <f t="shared" si="101"/>
        <v>500</v>
      </c>
      <c r="AA851" s="20">
        <f t="shared" si="99"/>
        <v>0</v>
      </c>
    </row>
    <row r="852" spans="1:27" ht="12.75">
      <c r="A852" s="3" t="s">
        <v>1842</v>
      </c>
      <c r="B852" s="3" t="s">
        <v>522</v>
      </c>
      <c r="C852" s="3" t="s">
        <v>523</v>
      </c>
      <c r="D852" s="3" t="s">
        <v>713</v>
      </c>
      <c r="E852" s="3" t="s">
        <v>526</v>
      </c>
      <c r="F852" s="3" t="s">
        <v>714</v>
      </c>
      <c r="G852" s="3" t="s">
        <v>1591</v>
      </c>
      <c r="H852" s="3" t="s">
        <v>1592</v>
      </c>
      <c r="I852" s="3" t="s">
        <v>2954</v>
      </c>
      <c r="J852" s="4">
        <v>0</v>
      </c>
      <c r="K852" s="4">
        <v>0</v>
      </c>
      <c r="L852" s="4">
        <v>0</v>
      </c>
      <c r="M852" s="4">
        <v>0</v>
      </c>
      <c r="N852" s="5">
        <v>0</v>
      </c>
      <c r="O852" s="5">
        <v>0</v>
      </c>
      <c r="P852" s="5">
        <v>5516</v>
      </c>
      <c r="Q852" s="5">
        <v>0</v>
      </c>
      <c r="R852" s="5">
        <v>175</v>
      </c>
      <c r="S852" s="5">
        <v>0</v>
      </c>
      <c r="T852" s="5">
        <f t="shared" si="100"/>
        <v>5691</v>
      </c>
      <c r="U852" s="5">
        <v>19287</v>
      </c>
      <c r="V852" s="5">
        <v>0</v>
      </c>
      <c r="W852" s="5">
        <v>0</v>
      </c>
      <c r="X852" s="5">
        <v>200</v>
      </c>
      <c r="Y852" s="5">
        <v>25178</v>
      </c>
      <c r="Z852" s="5">
        <f t="shared" si="101"/>
        <v>25178</v>
      </c>
      <c r="AA852" s="20">
        <f aca="true" t="shared" si="102" ref="AA852:AA914">+Y852-Z852</f>
        <v>0</v>
      </c>
    </row>
    <row r="853" spans="1:27" ht="12.75">
      <c r="A853" s="3" t="s">
        <v>1964</v>
      </c>
      <c r="B853" s="3" t="s">
        <v>522</v>
      </c>
      <c r="C853" s="3" t="s">
        <v>523</v>
      </c>
      <c r="D853" s="3" t="s">
        <v>715</v>
      </c>
      <c r="E853" s="3" t="s">
        <v>526</v>
      </c>
      <c r="F853" s="3" t="s">
        <v>717</v>
      </c>
      <c r="G853" s="3" t="s">
        <v>1591</v>
      </c>
      <c r="H853" s="3" t="s">
        <v>1592</v>
      </c>
      <c r="I853" s="3" t="s">
        <v>716</v>
      </c>
      <c r="J853" s="4">
        <v>0</v>
      </c>
      <c r="K853" s="4">
        <v>0</v>
      </c>
      <c r="L853" s="4">
        <v>0</v>
      </c>
      <c r="M853" s="4">
        <v>0</v>
      </c>
      <c r="N853" s="5">
        <v>0</v>
      </c>
      <c r="O853" s="5">
        <v>0</v>
      </c>
      <c r="P853" s="5">
        <v>30000</v>
      </c>
      <c r="Q853" s="5">
        <v>0</v>
      </c>
      <c r="R853" s="5">
        <v>4400</v>
      </c>
      <c r="S853" s="5">
        <v>0</v>
      </c>
      <c r="T853" s="5">
        <f t="shared" si="100"/>
        <v>34400</v>
      </c>
      <c r="U853" s="5">
        <f>SUM(S853:S853)</f>
        <v>0</v>
      </c>
      <c r="V853" s="5">
        <v>0</v>
      </c>
      <c r="W853" s="5">
        <v>0</v>
      </c>
      <c r="X853" s="5">
        <v>0</v>
      </c>
      <c r="Y853" s="5">
        <v>34400</v>
      </c>
      <c r="Z853" s="5">
        <f t="shared" si="101"/>
        <v>34400</v>
      </c>
      <c r="AA853" s="20">
        <f t="shared" si="102"/>
        <v>0</v>
      </c>
    </row>
    <row r="854" spans="1:27" ht="12.75">
      <c r="A854" s="3" t="s">
        <v>1699</v>
      </c>
      <c r="B854" s="3" t="s">
        <v>522</v>
      </c>
      <c r="C854" s="3" t="s">
        <v>523</v>
      </c>
      <c r="D854" s="3" t="s">
        <v>718</v>
      </c>
      <c r="E854" s="3" t="s">
        <v>526</v>
      </c>
      <c r="F854" s="3" t="s">
        <v>720</v>
      </c>
      <c r="G854" s="3" t="s">
        <v>1591</v>
      </c>
      <c r="H854" s="3" t="s">
        <v>1592</v>
      </c>
      <c r="I854" s="3" t="s">
        <v>631</v>
      </c>
      <c r="J854" s="4">
        <v>0</v>
      </c>
      <c r="K854" s="4">
        <v>0</v>
      </c>
      <c r="L854" s="4">
        <v>0</v>
      </c>
      <c r="M854" s="4">
        <v>0</v>
      </c>
      <c r="N854" s="5">
        <v>0</v>
      </c>
      <c r="O854" s="5">
        <v>0</v>
      </c>
      <c r="P854" s="5">
        <v>13500</v>
      </c>
      <c r="Q854" s="5">
        <v>0</v>
      </c>
      <c r="R854" s="5">
        <v>3915</v>
      </c>
      <c r="S854" s="5">
        <v>2000</v>
      </c>
      <c r="T854" s="5">
        <f aca="true" t="shared" si="103" ref="T854:T917">SUM(N854:R854)</f>
        <v>17415</v>
      </c>
      <c r="U854" s="5">
        <f>28000+2000</f>
        <v>30000</v>
      </c>
      <c r="V854" s="5">
        <v>0</v>
      </c>
      <c r="W854" s="5">
        <v>0</v>
      </c>
      <c r="X854" s="5">
        <v>1000</v>
      </c>
      <c r="Y854" s="5">
        <v>48415</v>
      </c>
      <c r="Z854" s="5">
        <f aca="true" t="shared" si="104" ref="Z854:Z917">SUM(T854:X854)</f>
        <v>48415</v>
      </c>
      <c r="AA854" s="20">
        <f t="shared" si="102"/>
        <v>0</v>
      </c>
    </row>
    <row r="855" spans="1:27" ht="12.75">
      <c r="A855" s="3" t="s">
        <v>1699</v>
      </c>
      <c r="B855" s="3" t="s">
        <v>522</v>
      </c>
      <c r="C855" s="3" t="s">
        <v>523</v>
      </c>
      <c r="D855" s="3" t="s">
        <v>721</v>
      </c>
      <c r="E855" s="3" t="s">
        <v>526</v>
      </c>
      <c r="F855" s="3" t="s">
        <v>723</v>
      </c>
      <c r="G855" s="3" t="s">
        <v>1591</v>
      </c>
      <c r="H855" s="3" t="s">
        <v>1592</v>
      </c>
      <c r="I855" s="3" t="s">
        <v>722</v>
      </c>
      <c r="J855" s="4">
        <v>0</v>
      </c>
      <c r="K855" s="4">
        <v>0</v>
      </c>
      <c r="L855" s="4">
        <v>0</v>
      </c>
      <c r="M855" s="4">
        <v>0</v>
      </c>
      <c r="N855" s="5">
        <v>0</v>
      </c>
      <c r="O855" s="5">
        <v>0</v>
      </c>
      <c r="P855" s="5">
        <v>3500</v>
      </c>
      <c r="Q855" s="5">
        <v>0</v>
      </c>
      <c r="R855" s="5">
        <v>280</v>
      </c>
      <c r="S855" s="5">
        <v>1000</v>
      </c>
      <c r="T855" s="5">
        <f t="shared" si="103"/>
        <v>3780</v>
      </c>
      <c r="U855" s="5">
        <f>13500+1000</f>
        <v>14500</v>
      </c>
      <c r="V855" s="5">
        <v>0</v>
      </c>
      <c r="W855" s="5">
        <v>0</v>
      </c>
      <c r="X855" s="5">
        <v>2300</v>
      </c>
      <c r="Y855" s="5">
        <v>20580</v>
      </c>
      <c r="Z855" s="5">
        <f t="shared" si="104"/>
        <v>20580</v>
      </c>
      <c r="AA855" s="20">
        <f t="shared" si="102"/>
        <v>0</v>
      </c>
    </row>
    <row r="856" spans="1:27" ht="12.75">
      <c r="A856" s="3" t="s">
        <v>1964</v>
      </c>
      <c r="B856" s="3" t="s">
        <v>522</v>
      </c>
      <c r="C856" s="3" t="s">
        <v>523</v>
      </c>
      <c r="D856" s="3" t="s">
        <v>724</v>
      </c>
      <c r="E856" s="3" t="s">
        <v>526</v>
      </c>
      <c r="F856" s="3" t="s">
        <v>726</v>
      </c>
      <c r="G856" s="3" t="s">
        <v>1591</v>
      </c>
      <c r="H856" s="3" t="s">
        <v>1592</v>
      </c>
      <c r="I856" s="3" t="s">
        <v>725</v>
      </c>
      <c r="J856" s="4">
        <v>0</v>
      </c>
      <c r="K856" s="4">
        <v>0</v>
      </c>
      <c r="L856" s="4">
        <v>0</v>
      </c>
      <c r="M856" s="4">
        <v>0</v>
      </c>
      <c r="N856" s="5">
        <v>0</v>
      </c>
      <c r="O856" s="5">
        <v>0</v>
      </c>
      <c r="P856" s="5">
        <v>0</v>
      </c>
      <c r="Q856" s="5">
        <v>0</v>
      </c>
      <c r="R856" s="5">
        <v>0</v>
      </c>
      <c r="S856" s="5">
        <v>0</v>
      </c>
      <c r="T856" s="5">
        <f t="shared" si="103"/>
        <v>0</v>
      </c>
      <c r="U856" s="5">
        <v>500</v>
      </c>
      <c r="V856" s="5">
        <v>0</v>
      </c>
      <c r="W856" s="5">
        <v>0</v>
      </c>
      <c r="X856" s="5">
        <v>0</v>
      </c>
      <c r="Y856" s="5">
        <v>500</v>
      </c>
      <c r="Z856" s="5">
        <f t="shared" si="104"/>
        <v>500</v>
      </c>
      <c r="AA856" s="20">
        <f t="shared" si="102"/>
        <v>0</v>
      </c>
    </row>
    <row r="857" spans="1:27" ht="12.75">
      <c r="A857" s="3" t="s">
        <v>1936</v>
      </c>
      <c r="B857" s="3" t="s">
        <v>522</v>
      </c>
      <c r="C857" s="3" t="s">
        <v>523</v>
      </c>
      <c r="D857" s="3" t="s">
        <v>727</v>
      </c>
      <c r="E857" s="3" t="s">
        <v>526</v>
      </c>
      <c r="F857" s="3" t="s">
        <v>729</v>
      </c>
      <c r="G857" s="3" t="s">
        <v>1591</v>
      </c>
      <c r="H857" s="3" t="s">
        <v>1592</v>
      </c>
      <c r="I857" s="3" t="s">
        <v>632</v>
      </c>
      <c r="J857" s="4">
        <v>0</v>
      </c>
      <c r="K857" s="4">
        <v>0</v>
      </c>
      <c r="L857" s="4">
        <v>0</v>
      </c>
      <c r="M857" s="4">
        <v>0</v>
      </c>
      <c r="N857" s="5">
        <v>0</v>
      </c>
      <c r="O857" s="5">
        <v>0</v>
      </c>
      <c r="P857" s="5">
        <v>0</v>
      </c>
      <c r="Q857" s="5">
        <v>0</v>
      </c>
      <c r="R857" s="5">
        <v>0</v>
      </c>
      <c r="S857" s="5">
        <v>0</v>
      </c>
      <c r="T857" s="5">
        <f t="shared" si="103"/>
        <v>0</v>
      </c>
      <c r="U857" s="5">
        <v>1000</v>
      </c>
      <c r="V857" s="5">
        <v>0</v>
      </c>
      <c r="W857" s="5">
        <v>0</v>
      </c>
      <c r="X857" s="5">
        <v>0</v>
      </c>
      <c r="Y857" s="5">
        <v>1000</v>
      </c>
      <c r="Z857" s="5">
        <f t="shared" si="104"/>
        <v>1000</v>
      </c>
      <c r="AA857" s="20">
        <f t="shared" si="102"/>
        <v>0</v>
      </c>
    </row>
    <row r="858" spans="1:27" ht="12.75">
      <c r="A858" s="3" t="s">
        <v>1680</v>
      </c>
      <c r="B858" s="3" t="s">
        <v>522</v>
      </c>
      <c r="C858" s="3" t="s">
        <v>523</v>
      </c>
      <c r="D858" s="3" t="s">
        <v>730</v>
      </c>
      <c r="E858" s="3" t="s">
        <v>732</v>
      </c>
      <c r="F858" s="3" t="s">
        <v>733</v>
      </c>
      <c r="G858" s="3" t="s">
        <v>1591</v>
      </c>
      <c r="H858" s="3" t="s">
        <v>1592</v>
      </c>
      <c r="I858" s="3" t="s">
        <v>633</v>
      </c>
      <c r="J858" s="4">
        <v>0</v>
      </c>
      <c r="K858" s="4">
        <v>0</v>
      </c>
      <c r="L858" s="4">
        <v>0</v>
      </c>
      <c r="M858" s="4">
        <v>0</v>
      </c>
      <c r="N858" s="5">
        <v>0</v>
      </c>
      <c r="O858" s="5">
        <v>0</v>
      </c>
      <c r="P858" s="5">
        <v>0</v>
      </c>
      <c r="Q858" s="5">
        <v>0</v>
      </c>
      <c r="R858" s="5">
        <v>0</v>
      </c>
      <c r="S858" s="5">
        <v>0</v>
      </c>
      <c r="T858" s="5">
        <f t="shared" si="103"/>
        <v>0</v>
      </c>
      <c r="U858" s="5">
        <f>SUM(S858:S858)</f>
        <v>0</v>
      </c>
      <c r="V858" s="5">
        <v>0</v>
      </c>
      <c r="W858" s="5">
        <v>0</v>
      </c>
      <c r="X858" s="5">
        <v>64216</v>
      </c>
      <c r="Y858" s="5">
        <v>64216</v>
      </c>
      <c r="Z858" s="5">
        <f t="shared" si="104"/>
        <v>64216</v>
      </c>
      <c r="AA858" s="20">
        <f t="shared" si="102"/>
        <v>0</v>
      </c>
    </row>
    <row r="859" spans="1:27" ht="12.75">
      <c r="A859" s="3" t="s">
        <v>1751</v>
      </c>
      <c r="B859" s="3" t="s">
        <v>522</v>
      </c>
      <c r="C859" s="3" t="s">
        <v>523</v>
      </c>
      <c r="D859" s="3" t="s">
        <v>734</v>
      </c>
      <c r="E859" s="3" t="s">
        <v>732</v>
      </c>
      <c r="F859" s="3" t="s">
        <v>736</v>
      </c>
      <c r="G859" s="3" t="s">
        <v>1591</v>
      </c>
      <c r="H859" s="3" t="s">
        <v>1592</v>
      </c>
      <c r="I859" s="3" t="s">
        <v>634</v>
      </c>
      <c r="J859" s="4">
        <v>0</v>
      </c>
      <c r="K859" s="4">
        <v>0</v>
      </c>
      <c r="L859" s="4">
        <v>0</v>
      </c>
      <c r="M859" s="4">
        <v>0</v>
      </c>
      <c r="N859" s="5">
        <v>0</v>
      </c>
      <c r="O859" s="5">
        <v>0</v>
      </c>
      <c r="P859" s="5">
        <v>0</v>
      </c>
      <c r="Q859" s="5">
        <v>74018</v>
      </c>
      <c r="R859" s="5">
        <v>0</v>
      </c>
      <c r="S859" s="5">
        <v>0</v>
      </c>
      <c r="T859" s="5">
        <f t="shared" si="103"/>
        <v>74018</v>
      </c>
      <c r="U859" s="5">
        <f>SUM(S859:S859)</f>
        <v>0</v>
      </c>
      <c r="V859" s="5">
        <v>33700</v>
      </c>
      <c r="W859" s="5">
        <v>0</v>
      </c>
      <c r="X859" s="5">
        <v>0</v>
      </c>
      <c r="Y859" s="5">
        <v>107718</v>
      </c>
      <c r="Z859" s="5">
        <f t="shared" si="104"/>
        <v>107718</v>
      </c>
      <c r="AA859" s="20">
        <f t="shared" si="102"/>
        <v>0</v>
      </c>
    </row>
    <row r="860" spans="1:27" ht="12.75">
      <c r="A860" s="3" t="s">
        <v>1842</v>
      </c>
      <c r="B860" s="3" t="s">
        <v>522</v>
      </c>
      <c r="C860" s="3" t="s">
        <v>523</v>
      </c>
      <c r="D860" s="3" t="s">
        <v>737</v>
      </c>
      <c r="E860" s="3" t="s">
        <v>732</v>
      </c>
      <c r="F860" s="3" t="s">
        <v>739</v>
      </c>
      <c r="G860" s="3" t="s">
        <v>1591</v>
      </c>
      <c r="H860" s="3" t="s">
        <v>1592</v>
      </c>
      <c r="I860" s="3" t="s">
        <v>635</v>
      </c>
      <c r="J860" s="4">
        <v>0</v>
      </c>
      <c r="K860" s="4">
        <v>0</v>
      </c>
      <c r="L860" s="4">
        <v>0</v>
      </c>
      <c r="M860" s="4">
        <v>0</v>
      </c>
      <c r="N860" s="5">
        <v>0</v>
      </c>
      <c r="O860" s="5">
        <v>0</v>
      </c>
      <c r="P860" s="5">
        <v>11600</v>
      </c>
      <c r="Q860" s="5">
        <v>0</v>
      </c>
      <c r="R860" s="5">
        <v>2900</v>
      </c>
      <c r="S860" s="5">
        <v>0</v>
      </c>
      <c r="T860" s="5">
        <f t="shared" si="103"/>
        <v>14500</v>
      </c>
      <c r="U860" s="5">
        <v>71092</v>
      </c>
      <c r="V860" s="5">
        <v>0</v>
      </c>
      <c r="W860" s="5">
        <v>0</v>
      </c>
      <c r="X860" s="5">
        <v>4200</v>
      </c>
      <c r="Y860" s="5">
        <v>89792</v>
      </c>
      <c r="Z860" s="5">
        <f t="shared" si="104"/>
        <v>89792</v>
      </c>
      <c r="AA860" s="20">
        <f t="shared" si="102"/>
        <v>0</v>
      </c>
    </row>
    <row r="861" spans="1:27" ht="12.75">
      <c r="A861" s="3" t="s">
        <v>1699</v>
      </c>
      <c r="B861" s="3" t="s">
        <v>522</v>
      </c>
      <c r="C861" s="3" t="s">
        <v>523</v>
      </c>
      <c r="D861" s="3" t="s">
        <v>740</v>
      </c>
      <c r="E861" s="3" t="s">
        <v>732</v>
      </c>
      <c r="F861" s="3" t="s">
        <v>742</v>
      </c>
      <c r="G861" s="3" t="s">
        <v>1591</v>
      </c>
      <c r="H861" s="3" t="s">
        <v>1592</v>
      </c>
      <c r="I861" s="3" t="s">
        <v>2445</v>
      </c>
      <c r="J861" s="4">
        <v>0</v>
      </c>
      <c r="K861" s="4">
        <v>0</v>
      </c>
      <c r="L861" s="4">
        <v>0</v>
      </c>
      <c r="M861" s="4">
        <v>0</v>
      </c>
      <c r="N861" s="5">
        <v>0</v>
      </c>
      <c r="O861" s="5">
        <v>0</v>
      </c>
      <c r="P861" s="5">
        <v>0</v>
      </c>
      <c r="Q861" s="5">
        <v>21024</v>
      </c>
      <c r="R861" s="5">
        <v>1551</v>
      </c>
      <c r="S861" s="5">
        <v>0</v>
      </c>
      <c r="T861" s="5">
        <f t="shared" si="103"/>
        <v>22575</v>
      </c>
      <c r="U861" s="5">
        <v>55487</v>
      </c>
      <c r="V861" s="5">
        <v>12000</v>
      </c>
      <c r="W861" s="5">
        <v>0</v>
      </c>
      <c r="X861" s="5">
        <v>1400</v>
      </c>
      <c r="Y861" s="5">
        <v>91462</v>
      </c>
      <c r="Z861" s="5">
        <f t="shared" si="104"/>
        <v>91462</v>
      </c>
      <c r="AA861" s="20">
        <f t="shared" si="102"/>
        <v>0</v>
      </c>
    </row>
    <row r="862" spans="1:27" ht="12.75">
      <c r="A862" s="3" t="s">
        <v>1842</v>
      </c>
      <c r="B862" s="3" t="s">
        <v>522</v>
      </c>
      <c r="C862" s="3" t="s">
        <v>523</v>
      </c>
      <c r="D862" s="3" t="s">
        <v>743</v>
      </c>
      <c r="E862" s="3" t="s">
        <v>526</v>
      </c>
      <c r="F862" s="3" t="s">
        <v>745</v>
      </c>
      <c r="G862" s="3" t="s">
        <v>1591</v>
      </c>
      <c r="H862" s="3" t="s">
        <v>1592</v>
      </c>
      <c r="I862" s="3" t="s">
        <v>744</v>
      </c>
      <c r="J862" s="4">
        <v>0</v>
      </c>
      <c r="K862" s="4">
        <v>0</v>
      </c>
      <c r="L862" s="4">
        <v>0</v>
      </c>
      <c r="M862" s="4">
        <v>0</v>
      </c>
      <c r="N862" s="5">
        <v>0</v>
      </c>
      <c r="O862" s="5">
        <v>0</v>
      </c>
      <c r="P862" s="5">
        <v>0</v>
      </c>
      <c r="Q862" s="5">
        <v>0</v>
      </c>
      <c r="R862" s="5">
        <v>0</v>
      </c>
      <c r="S862" s="5">
        <v>0</v>
      </c>
      <c r="T862" s="5">
        <f t="shared" si="103"/>
        <v>0</v>
      </c>
      <c r="U862" s="5">
        <v>55000</v>
      </c>
      <c r="V862" s="5">
        <v>0</v>
      </c>
      <c r="W862" s="5">
        <v>0</v>
      </c>
      <c r="X862" s="5">
        <v>0</v>
      </c>
      <c r="Y862" s="5">
        <v>55000</v>
      </c>
      <c r="Z862" s="5">
        <f t="shared" si="104"/>
        <v>55000</v>
      </c>
      <c r="AA862" s="20">
        <f t="shared" si="102"/>
        <v>0</v>
      </c>
    </row>
    <row r="863" spans="1:27" ht="12.75">
      <c r="A863" s="3" t="s">
        <v>1842</v>
      </c>
      <c r="B863" s="3" t="s">
        <v>522</v>
      </c>
      <c r="C863" s="3" t="s">
        <v>523</v>
      </c>
      <c r="D863" s="3" t="s">
        <v>746</v>
      </c>
      <c r="E863" s="3" t="s">
        <v>526</v>
      </c>
      <c r="F863" s="3" t="s">
        <v>747</v>
      </c>
      <c r="G863" s="3" t="s">
        <v>1591</v>
      </c>
      <c r="H863" s="3" t="s">
        <v>1592</v>
      </c>
      <c r="I863" s="3" t="s">
        <v>2606</v>
      </c>
      <c r="J863" s="4">
        <v>0</v>
      </c>
      <c r="K863" s="4">
        <v>0</v>
      </c>
      <c r="L863" s="4">
        <v>0</v>
      </c>
      <c r="M863" s="4">
        <v>0</v>
      </c>
      <c r="N863" s="5">
        <v>0</v>
      </c>
      <c r="O863" s="5">
        <v>0</v>
      </c>
      <c r="P863" s="5">
        <v>2000</v>
      </c>
      <c r="Q863" s="5">
        <v>0</v>
      </c>
      <c r="R863" s="5">
        <v>284</v>
      </c>
      <c r="S863" s="5">
        <v>0</v>
      </c>
      <c r="T863" s="5">
        <f t="shared" si="103"/>
        <v>2284</v>
      </c>
      <c r="U863" s="5">
        <v>1079</v>
      </c>
      <c r="V863" s="5">
        <v>0</v>
      </c>
      <c r="W863" s="5">
        <v>0</v>
      </c>
      <c r="X863" s="5">
        <v>0</v>
      </c>
      <c r="Y863" s="5">
        <v>3363</v>
      </c>
      <c r="Z863" s="5">
        <f t="shared" si="104"/>
        <v>3363</v>
      </c>
      <c r="AA863" s="20">
        <f t="shared" si="102"/>
        <v>0</v>
      </c>
    </row>
    <row r="864" spans="1:27" ht="12.75">
      <c r="A864" s="3" t="s">
        <v>2040</v>
      </c>
      <c r="B864" s="3" t="s">
        <v>522</v>
      </c>
      <c r="C864" s="3" t="s">
        <v>523</v>
      </c>
      <c r="D864" s="3" t="s">
        <v>748</v>
      </c>
      <c r="E864" s="3" t="s">
        <v>526</v>
      </c>
      <c r="F864" s="3" t="s">
        <v>750</v>
      </c>
      <c r="G864" s="3" t="s">
        <v>1591</v>
      </c>
      <c r="H864" s="3" t="s">
        <v>1592</v>
      </c>
      <c r="I864" s="3" t="s">
        <v>749</v>
      </c>
      <c r="J864" s="4">
        <v>0</v>
      </c>
      <c r="K864" s="4">
        <v>0</v>
      </c>
      <c r="L864" s="4">
        <v>1</v>
      </c>
      <c r="M864" s="4">
        <v>0</v>
      </c>
      <c r="N864" s="5">
        <v>29664</v>
      </c>
      <c r="O864" s="5">
        <v>0</v>
      </c>
      <c r="P864" s="5">
        <v>0</v>
      </c>
      <c r="Q864" s="5">
        <v>0</v>
      </c>
      <c r="R864" s="5">
        <v>0</v>
      </c>
      <c r="S864" s="5">
        <v>0</v>
      </c>
      <c r="T864" s="5">
        <f t="shared" si="103"/>
        <v>29664</v>
      </c>
      <c r="U864" s="5">
        <f aca="true" t="shared" si="105" ref="U864:U897">SUM(S864:S864)</f>
        <v>0</v>
      </c>
      <c r="V864" s="5">
        <v>0</v>
      </c>
      <c r="W864" s="5">
        <v>0</v>
      </c>
      <c r="X864" s="5">
        <v>0</v>
      </c>
      <c r="Y864" s="5">
        <v>29664</v>
      </c>
      <c r="Z864" s="5">
        <f t="shared" si="104"/>
        <v>29664</v>
      </c>
      <c r="AA864" s="20">
        <f t="shared" si="102"/>
        <v>0</v>
      </c>
    </row>
    <row r="865" spans="1:27" ht="12.75">
      <c r="A865" s="3" t="s">
        <v>1842</v>
      </c>
      <c r="B865" s="3" t="s">
        <v>522</v>
      </c>
      <c r="C865" s="3" t="s">
        <v>523</v>
      </c>
      <c r="D865" s="3" t="s">
        <v>751</v>
      </c>
      <c r="E865" s="3" t="s">
        <v>526</v>
      </c>
      <c r="F865" s="3" t="s">
        <v>753</v>
      </c>
      <c r="G865" s="3" t="s">
        <v>1591</v>
      </c>
      <c r="H865" s="3" t="s">
        <v>1592</v>
      </c>
      <c r="I865" s="3" t="s">
        <v>752</v>
      </c>
      <c r="J865" s="4">
        <v>0</v>
      </c>
      <c r="K865" s="4">
        <v>1</v>
      </c>
      <c r="L865" s="4">
        <v>0</v>
      </c>
      <c r="M865" s="4">
        <v>0</v>
      </c>
      <c r="N865" s="5">
        <v>21180</v>
      </c>
      <c r="O865" s="5">
        <v>0</v>
      </c>
      <c r="P865" s="5">
        <v>0</v>
      </c>
      <c r="Q865" s="5">
        <v>0</v>
      </c>
      <c r="R865" s="5">
        <v>0</v>
      </c>
      <c r="S865" s="5">
        <v>0</v>
      </c>
      <c r="T865" s="5">
        <f t="shared" si="103"/>
        <v>21180</v>
      </c>
      <c r="U865" s="5">
        <f t="shared" si="105"/>
        <v>0</v>
      </c>
      <c r="V865" s="5">
        <v>0</v>
      </c>
      <c r="W865" s="5">
        <v>0</v>
      </c>
      <c r="X865" s="5">
        <v>0</v>
      </c>
      <c r="Y865" s="5">
        <v>21180</v>
      </c>
      <c r="Z865" s="5">
        <f t="shared" si="104"/>
        <v>21180</v>
      </c>
      <c r="AA865" s="20">
        <f t="shared" si="102"/>
        <v>0</v>
      </c>
    </row>
    <row r="866" spans="1:27" ht="12.75">
      <c r="A866" s="3" t="s">
        <v>1842</v>
      </c>
      <c r="B866" s="3" t="s">
        <v>522</v>
      </c>
      <c r="C866" s="3" t="s">
        <v>523</v>
      </c>
      <c r="D866" s="3" t="s">
        <v>754</v>
      </c>
      <c r="E866" s="3" t="s">
        <v>526</v>
      </c>
      <c r="F866" s="3" t="s">
        <v>756</v>
      </c>
      <c r="G866" s="3" t="s">
        <v>1591</v>
      </c>
      <c r="H866" s="3" t="s">
        <v>1592</v>
      </c>
      <c r="I866" s="3" t="s">
        <v>755</v>
      </c>
      <c r="J866" s="4">
        <v>0</v>
      </c>
      <c r="K866" s="4">
        <v>0</v>
      </c>
      <c r="L866" s="4">
        <v>2</v>
      </c>
      <c r="M866" s="4">
        <v>0</v>
      </c>
      <c r="N866" s="5">
        <v>57216</v>
      </c>
      <c r="O866" s="5">
        <v>0</v>
      </c>
      <c r="P866" s="5">
        <v>0</v>
      </c>
      <c r="Q866" s="5">
        <v>0</v>
      </c>
      <c r="R866" s="5">
        <v>0</v>
      </c>
      <c r="S866" s="5">
        <v>0</v>
      </c>
      <c r="T866" s="5">
        <f t="shared" si="103"/>
        <v>57216</v>
      </c>
      <c r="U866" s="5">
        <f t="shared" si="105"/>
        <v>0</v>
      </c>
      <c r="V866" s="5">
        <v>0</v>
      </c>
      <c r="W866" s="5">
        <v>0</v>
      </c>
      <c r="X866" s="5">
        <v>0</v>
      </c>
      <c r="Y866" s="5">
        <v>57216</v>
      </c>
      <c r="Z866" s="5">
        <f t="shared" si="104"/>
        <v>57216</v>
      </c>
      <c r="AA866" s="20">
        <f t="shared" si="102"/>
        <v>0</v>
      </c>
    </row>
    <row r="867" spans="1:27" ht="12.75">
      <c r="A867" s="3" t="s">
        <v>1842</v>
      </c>
      <c r="B867" s="3" t="s">
        <v>522</v>
      </c>
      <c r="C867" s="3" t="s">
        <v>523</v>
      </c>
      <c r="D867" s="3" t="s">
        <v>757</v>
      </c>
      <c r="E867" s="3" t="s">
        <v>526</v>
      </c>
      <c r="F867" s="3" t="s">
        <v>759</v>
      </c>
      <c r="G867" s="3" t="s">
        <v>1591</v>
      </c>
      <c r="H867" s="3" t="s">
        <v>1592</v>
      </c>
      <c r="I867" s="3" t="s">
        <v>758</v>
      </c>
      <c r="J867" s="4">
        <v>0</v>
      </c>
      <c r="K867" s="4">
        <v>0</v>
      </c>
      <c r="L867" s="4">
        <v>0.25</v>
      </c>
      <c r="M867" s="4">
        <v>0</v>
      </c>
      <c r="N867" s="5">
        <v>7386</v>
      </c>
      <c r="O867" s="5">
        <v>0</v>
      </c>
      <c r="P867" s="5">
        <v>0</v>
      </c>
      <c r="Q867" s="5">
        <v>0</v>
      </c>
      <c r="R867" s="5">
        <v>0</v>
      </c>
      <c r="S867" s="5">
        <v>0</v>
      </c>
      <c r="T867" s="5">
        <f t="shared" si="103"/>
        <v>7386</v>
      </c>
      <c r="U867" s="5">
        <f t="shared" si="105"/>
        <v>0</v>
      </c>
      <c r="V867" s="5">
        <v>0</v>
      </c>
      <c r="W867" s="5">
        <v>0</v>
      </c>
      <c r="X867" s="5">
        <v>0</v>
      </c>
      <c r="Y867" s="5">
        <v>7386</v>
      </c>
      <c r="Z867" s="5">
        <f t="shared" si="104"/>
        <v>7386</v>
      </c>
      <c r="AA867" s="20">
        <f t="shared" si="102"/>
        <v>0</v>
      </c>
    </row>
    <row r="868" spans="1:27" ht="12.75">
      <c r="A868" s="3" t="s">
        <v>1699</v>
      </c>
      <c r="B868" s="3" t="s">
        <v>3187</v>
      </c>
      <c r="C868" s="3" t="s">
        <v>3188</v>
      </c>
      <c r="D868" s="3" t="s">
        <v>298</v>
      </c>
      <c r="E868" s="3" t="s">
        <v>300</v>
      </c>
      <c r="F868" s="3" t="s">
        <v>301</v>
      </c>
      <c r="G868" s="3" t="s">
        <v>1591</v>
      </c>
      <c r="H868" s="3" t="s">
        <v>1592</v>
      </c>
      <c r="I868" s="3" t="s">
        <v>299</v>
      </c>
      <c r="J868" s="4">
        <v>0</v>
      </c>
      <c r="K868" s="4">
        <v>0</v>
      </c>
      <c r="L868" s="4">
        <v>0</v>
      </c>
      <c r="M868" s="4">
        <v>0</v>
      </c>
      <c r="N868" s="5">
        <v>0</v>
      </c>
      <c r="O868" s="5">
        <v>0</v>
      </c>
      <c r="P868" s="5">
        <v>1000</v>
      </c>
      <c r="Q868" s="5">
        <v>0</v>
      </c>
      <c r="R868" s="5">
        <v>0</v>
      </c>
      <c r="S868" s="5">
        <v>0</v>
      </c>
      <c r="T868" s="5">
        <f t="shared" si="103"/>
        <v>1000</v>
      </c>
      <c r="U868" s="5">
        <f t="shared" si="105"/>
        <v>0</v>
      </c>
      <c r="V868" s="5">
        <v>0</v>
      </c>
      <c r="W868" s="5">
        <v>0</v>
      </c>
      <c r="X868" s="5">
        <v>0</v>
      </c>
      <c r="Y868" s="5">
        <v>1000</v>
      </c>
      <c r="Z868" s="5">
        <f t="shared" si="104"/>
        <v>1000</v>
      </c>
      <c r="AA868" s="20">
        <f t="shared" si="102"/>
        <v>0</v>
      </c>
    </row>
    <row r="869" spans="1:27" ht="12.75">
      <c r="A869" s="3" t="s">
        <v>1699</v>
      </c>
      <c r="B869" s="3" t="s">
        <v>3187</v>
      </c>
      <c r="C869" s="3" t="s">
        <v>3188</v>
      </c>
      <c r="D869" s="3" t="s">
        <v>302</v>
      </c>
      <c r="E869" s="3" t="s">
        <v>300</v>
      </c>
      <c r="F869" s="3" t="s">
        <v>304</v>
      </c>
      <c r="G869" s="3" t="s">
        <v>1591</v>
      </c>
      <c r="H869" s="3" t="s">
        <v>1592</v>
      </c>
      <c r="I869" s="3" t="s">
        <v>303</v>
      </c>
      <c r="J869" s="4">
        <v>0</v>
      </c>
      <c r="K869" s="4">
        <v>0</v>
      </c>
      <c r="L869" s="4">
        <v>0</v>
      </c>
      <c r="M869" s="4">
        <v>0</v>
      </c>
      <c r="N869" s="5">
        <v>0</v>
      </c>
      <c r="O869" s="5">
        <v>0</v>
      </c>
      <c r="P869" s="5">
        <v>1500</v>
      </c>
      <c r="Q869" s="5">
        <v>0</v>
      </c>
      <c r="R869" s="5">
        <v>250</v>
      </c>
      <c r="S869" s="5">
        <v>0</v>
      </c>
      <c r="T869" s="5">
        <f t="shared" si="103"/>
        <v>1750</v>
      </c>
      <c r="U869" s="5">
        <f t="shared" si="105"/>
        <v>0</v>
      </c>
      <c r="V869" s="5">
        <v>0</v>
      </c>
      <c r="W869" s="5">
        <v>0</v>
      </c>
      <c r="X869" s="5">
        <v>0</v>
      </c>
      <c r="Y869" s="5">
        <v>1750</v>
      </c>
      <c r="Z869" s="5">
        <f t="shared" si="104"/>
        <v>1750</v>
      </c>
      <c r="AA869" s="20">
        <f t="shared" si="102"/>
        <v>0</v>
      </c>
    </row>
    <row r="870" spans="1:27" ht="12.75">
      <c r="A870" s="3" t="s">
        <v>1751</v>
      </c>
      <c r="B870" s="3" t="s">
        <v>3187</v>
      </c>
      <c r="C870" s="3" t="s">
        <v>3188</v>
      </c>
      <c r="D870" s="3" t="s">
        <v>305</v>
      </c>
      <c r="E870" s="3" t="s">
        <v>300</v>
      </c>
      <c r="F870" s="3" t="s">
        <v>307</v>
      </c>
      <c r="G870" s="3" t="s">
        <v>1591</v>
      </c>
      <c r="H870" s="3" t="s">
        <v>1592</v>
      </c>
      <c r="I870" s="3" t="s">
        <v>306</v>
      </c>
      <c r="J870" s="4">
        <v>0</v>
      </c>
      <c r="K870" s="4">
        <v>0</v>
      </c>
      <c r="L870" s="4">
        <v>0</v>
      </c>
      <c r="M870" s="4">
        <v>0</v>
      </c>
      <c r="N870" s="5">
        <v>0</v>
      </c>
      <c r="O870" s="5">
        <v>0</v>
      </c>
      <c r="P870" s="5">
        <v>0</v>
      </c>
      <c r="Q870" s="5">
        <v>0</v>
      </c>
      <c r="R870" s="5">
        <v>0</v>
      </c>
      <c r="S870" s="5">
        <v>0</v>
      </c>
      <c r="T870" s="5">
        <f t="shared" si="103"/>
        <v>0</v>
      </c>
      <c r="U870" s="5">
        <f t="shared" si="105"/>
        <v>0</v>
      </c>
      <c r="V870" s="5">
        <v>0</v>
      </c>
      <c r="W870" s="5">
        <v>0</v>
      </c>
      <c r="X870" s="5">
        <v>1000</v>
      </c>
      <c r="Y870" s="5">
        <v>1000</v>
      </c>
      <c r="Z870" s="5">
        <f t="shared" si="104"/>
        <v>1000</v>
      </c>
      <c r="AA870" s="20">
        <f t="shared" si="102"/>
        <v>0</v>
      </c>
    </row>
    <row r="871" spans="1:27" ht="12.75">
      <c r="A871" s="3" t="s">
        <v>1908</v>
      </c>
      <c r="B871" s="3" t="s">
        <v>3187</v>
      </c>
      <c r="C871" s="3" t="s">
        <v>3188</v>
      </c>
      <c r="D871" s="3" t="s">
        <v>308</v>
      </c>
      <c r="E871" s="3" t="s">
        <v>300</v>
      </c>
      <c r="F871" s="3" t="s">
        <v>310</v>
      </c>
      <c r="G871" s="3" t="s">
        <v>1591</v>
      </c>
      <c r="H871" s="3" t="s">
        <v>1592</v>
      </c>
      <c r="I871" s="3" t="s">
        <v>309</v>
      </c>
      <c r="J871" s="4">
        <v>0</v>
      </c>
      <c r="K871" s="4">
        <v>0</v>
      </c>
      <c r="L871" s="4">
        <v>0</v>
      </c>
      <c r="M871" s="4">
        <v>0</v>
      </c>
      <c r="N871" s="5">
        <v>0</v>
      </c>
      <c r="O871" s="5">
        <v>0</v>
      </c>
      <c r="P871" s="5">
        <v>36000</v>
      </c>
      <c r="Q871" s="5">
        <v>0</v>
      </c>
      <c r="R871" s="5">
        <v>1774</v>
      </c>
      <c r="S871" s="5">
        <v>0</v>
      </c>
      <c r="T871" s="5">
        <f t="shared" si="103"/>
        <v>37774</v>
      </c>
      <c r="U871" s="5">
        <f t="shared" si="105"/>
        <v>0</v>
      </c>
      <c r="V871" s="5">
        <v>0</v>
      </c>
      <c r="W871" s="5">
        <v>0</v>
      </c>
      <c r="X871" s="5">
        <v>0</v>
      </c>
      <c r="Y871" s="5">
        <v>37774</v>
      </c>
      <c r="Z871" s="5">
        <f t="shared" si="104"/>
        <v>37774</v>
      </c>
      <c r="AA871" s="20">
        <f t="shared" si="102"/>
        <v>0</v>
      </c>
    </row>
    <row r="872" spans="1:27" ht="12.75">
      <c r="A872" s="3" t="s">
        <v>1936</v>
      </c>
      <c r="B872" s="3" t="s">
        <v>3187</v>
      </c>
      <c r="C872" s="3" t="s">
        <v>3188</v>
      </c>
      <c r="D872" s="3" t="s">
        <v>311</v>
      </c>
      <c r="E872" s="3" t="s">
        <v>300</v>
      </c>
      <c r="F872" s="3" t="s">
        <v>313</v>
      </c>
      <c r="G872" s="3" t="s">
        <v>1591</v>
      </c>
      <c r="H872" s="3" t="s">
        <v>1592</v>
      </c>
      <c r="I872" s="3" t="s">
        <v>642</v>
      </c>
      <c r="J872" s="4">
        <v>0</v>
      </c>
      <c r="K872" s="4">
        <v>0</v>
      </c>
      <c r="L872" s="4">
        <v>0</v>
      </c>
      <c r="M872" s="4">
        <v>0</v>
      </c>
      <c r="N872" s="5">
        <v>0</v>
      </c>
      <c r="O872" s="5">
        <v>0</v>
      </c>
      <c r="P872" s="5">
        <v>31500</v>
      </c>
      <c r="Q872" s="5">
        <v>0</v>
      </c>
      <c r="R872" s="5">
        <v>2342</v>
      </c>
      <c r="S872" s="5">
        <v>0</v>
      </c>
      <c r="T872" s="5">
        <f t="shared" si="103"/>
        <v>33842</v>
      </c>
      <c r="U872" s="5">
        <f t="shared" si="105"/>
        <v>0</v>
      </c>
      <c r="V872" s="5">
        <v>0</v>
      </c>
      <c r="W872" s="5">
        <v>0</v>
      </c>
      <c r="X872" s="5">
        <v>0</v>
      </c>
      <c r="Y872" s="5">
        <v>33842</v>
      </c>
      <c r="Z872" s="5">
        <f t="shared" si="104"/>
        <v>33842</v>
      </c>
      <c r="AA872" s="20">
        <f t="shared" si="102"/>
        <v>0</v>
      </c>
    </row>
    <row r="873" spans="1:27" ht="12.75">
      <c r="A873" s="3" t="s">
        <v>1908</v>
      </c>
      <c r="B873" s="3" t="s">
        <v>3187</v>
      </c>
      <c r="C873" s="3" t="s">
        <v>3188</v>
      </c>
      <c r="D873" s="3" t="s">
        <v>314</v>
      </c>
      <c r="E873" s="3" t="s">
        <v>300</v>
      </c>
      <c r="F873" s="3" t="s">
        <v>316</v>
      </c>
      <c r="G873" s="3" t="s">
        <v>1591</v>
      </c>
      <c r="H873" s="3" t="s">
        <v>1592</v>
      </c>
      <c r="I873" s="3" t="s">
        <v>643</v>
      </c>
      <c r="J873" s="4">
        <v>0</v>
      </c>
      <c r="K873" s="4">
        <v>0</v>
      </c>
      <c r="L873" s="4">
        <v>0</v>
      </c>
      <c r="M873" s="4">
        <v>0</v>
      </c>
      <c r="N873" s="5">
        <v>0</v>
      </c>
      <c r="O873" s="5">
        <v>0</v>
      </c>
      <c r="P873" s="5">
        <v>0</v>
      </c>
      <c r="Q873" s="5">
        <v>4500</v>
      </c>
      <c r="R873" s="5">
        <v>2667</v>
      </c>
      <c r="S873" s="5">
        <v>0</v>
      </c>
      <c r="T873" s="5">
        <f t="shared" si="103"/>
        <v>7167</v>
      </c>
      <c r="U873" s="5">
        <f t="shared" si="105"/>
        <v>0</v>
      </c>
      <c r="V873" s="5">
        <v>232</v>
      </c>
      <c r="W873" s="5">
        <v>0</v>
      </c>
      <c r="X873" s="5">
        <v>0</v>
      </c>
      <c r="Y873" s="5">
        <v>7399</v>
      </c>
      <c r="Z873" s="5">
        <f t="shared" si="104"/>
        <v>7399</v>
      </c>
      <c r="AA873" s="20">
        <f t="shared" si="102"/>
        <v>0</v>
      </c>
    </row>
    <row r="874" spans="1:27" ht="12.75">
      <c r="A874" s="3" t="s">
        <v>1936</v>
      </c>
      <c r="B874" s="3" t="s">
        <v>3187</v>
      </c>
      <c r="C874" s="3" t="s">
        <v>3188</v>
      </c>
      <c r="D874" s="3" t="s">
        <v>317</v>
      </c>
      <c r="E874" s="3" t="s">
        <v>300</v>
      </c>
      <c r="F874" s="3" t="s">
        <v>319</v>
      </c>
      <c r="G874" s="3" t="s">
        <v>1591</v>
      </c>
      <c r="H874" s="3" t="s">
        <v>1592</v>
      </c>
      <c r="I874" s="3" t="s">
        <v>645</v>
      </c>
      <c r="J874" s="4">
        <v>0</v>
      </c>
      <c r="K874" s="4">
        <v>0</v>
      </c>
      <c r="L874" s="4">
        <v>0</v>
      </c>
      <c r="M874" s="4">
        <v>0</v>
      </c>
      <c r="N874" s="5">
        <v>0</v>
      </c>
      <c r="O874" s="5">
        <v>0</v>
      </c>
      <c r="P874" s="5">
        <v>3680</v>
      </c>
      <c r="Q874" s="5">
        <v>0</v>
      </c>
      <c r="R874" s="5">
        <v>0</v>
      </c>
      <c r="S874" s="5">
        <v>0</v>
      </c>
      <c r="T874" s="5">
        <f t="shared" si="103"/>
        <v>3680</v>
      </c>
      <c r="U874" s="5">
        <f t="shared" si="105"/>
        <v>0</v>
      </c>
      <c r="V874" s="5">
        <v>0</v>
      </c>
      <c r="W874" s="5">
        <v>0</v>
      </c>
      <c r="X874" s="5">
        <v>0</v>
      </c>
      <c r="Y874" s="5">
        <v>3680</v>
      </c>
      <c r="Z874" s="5">
        <f t="shared" si="104"/>
        <v>3680</v>
      </c>
      <c r="AA874" s="20">
        <f t="shared" si="102"/>
        <v>0</v>
      </c>
    </row>
    <row r="875" spans="1:27" ht="12.75">
      <c r="A875" s="3" t="s">
        <v>1908</v>
      </c>
      <c r="B875" s="3" t="s">
        <v>3187</v>
      </c>
      <c r="C875" s="3" t="s">
        <v>3188</v>
      </c>
      <c r="D875" s="3" t="s">
        <v>320</v>
      </c>
      <c r="E875" s="3" t="s">
        <v>300</v>
      </c>
      <c r="F875" s="3" t="s">
        <v>322</v>
      </c>
      <c r="G875" s="3" t="s">
        <v>1591</v>
      </c>
      <c r="H875" s="3" t="s">
        <v>1592</v>
      </c>
      <c r="I875" s="3" t="s">
        <v>644</v>
      </c>
      <c r="J875" s="4">
        <v>0</v>
      </c>
      <c r="K875" s="4">
        <v>0</v>
      </c>
      <c r="L875" s="4">
        <v>1</v>
      </c>
      <c r="M875" s="4">
        <v>0</v>
      </c>
      <c r="N875" s="5">
        <v>15924</v>
      </c>
      <c r="O875" s="5">
        <v>0</v>
      </c>
      <c r="P875" s="5">
        <v>5000</v>
      </c>
      <c r="Q875" s="5">
        <v>0</v>
      </c>
      <c r="R875" s="5">
        <v>3457</v>
      </c>
      <c r="S875" s="5">
        <v>0</v>
      </c>
      <c r="T875" s="5">
        <f t="shared" si="103"/>
        <v>24381</v>
      </c>
      <c r="U875" s="5">
        <f t="shared" si="105"/>
        <v>0</v>
      </c>
      <c r="V875" s="5">
        <v>0</v>
      </c>
      <c r="W875" s="5">
        <v>0</v>
      </c>
      <c r="X875" s="5">
        <v>0</v>
      </c>
      <c r="Y875" s="5">
        <v>24381</v>
      </c>
      <c r="Z875" s="5">
        <f t="shared" si="104"/>
        <v>24381</v>
      </c>
      <c r="AA875" s="20">
        <f t="shared" si="102"/>
        <v>0</v>
      </c>
    </row>
    <row r="876" spans="1:27" ht="12.75">
      <c r="A876" s="3" t="s">
        <v>1871</v>
      </c>
      <c r="B876" s="3" t="s">
        <v>3187</v>
      </c>
      <c r="C876" s="3" t="s">
        <v>3188</v>
      </c>
      <c r="D876" s="3" t="s">
        <v>323</v>
      </c>
      <c r="E876" s="3" t="s">
        <v>300</v>
      </c>
      <c r="F876" s="3" t="s">
        <v>325</v>
      </c>
      <c r="G876" s="3" t="s">
        <v>1591</v>
      </c>
      <c r="H876" s="3" t="s">
        <v>1592</v>
      </c>
      <c r="I876" s="3" t="s">
        <v>646</v>
      </c>
      <c r="J876" s="4">
        <v>0</v>
      </c>
      <c r="K876" s="4">
        <v>0</v>
      </c>
      <c r="L876" s="4">
        <v>0</v>
      </c>
      <c r="M876" s="4">
        <v>1</v>
      </c>
      <c r="N876" s="5">
        <v>4000</v>
      </c>
      <c r="O876" s="5">
        <v>0</v>
      </c>
      <c r="P876" s="5">
        <v>15000</v>
      </c>
      <c r="Q876" s="5">
        <v>0</v>
      </c>
      <c r="R876" s="5">
        <v>1350</v>
      </c>
      <c r="S876" s="5">
        <v>0</v>
      </c>
      <c r="T876" s="5">
        <f t="shared" si="103"/>
        <v>20350</v>
      </c>
      <c r="U876" s="5">
        <f t="shared" si="105"/>
        <v>0</v>
      </c>
      <c r="V876" s="5">
        <v>0</v>
      </c>
      <c r="W876" s="5">
        <v>0</v>
      </c>
      <c r="X876" s="5">
        <v>0</v>
      </c>
      <c r="Y876" s="5">
        <v>20350</v>
      </c>
      <c r="Z876" s="5">
        <f t="shared" si="104"/>
        <v>20350</v>
      </c>
      <c r="AA876" s="20">
        <f t="shared" si="102"/>
        <v>0</v>
      </c>
    </row>
    <row r="877" spans="1:27" ht="12.75">
      <c r="A877" s="3" t="s">
        <v>1871</v>
      </c>
      <c r="B877" s="3" t="s">
        <v>3187</v>
      </c>
      <c r="C877" s="3" t="s">
        <v>3188</v>
      </c>
      <c r="D877" s="3" t="s">
        <v>326</v>
      </c>
      <c r="E877" s="3" t="s">
        <v>300</v>
      </c>
      <c r="F877" s="3" t="s">
        <v>328</v>
      </c>
      <c r="G877" s="3" t="s">
        <v>1591</v>
      </c>
      <c r="H877" s="3" t="s">
        <v>1592</v>
      </c>
      <c r="I877" s="3" t="s">
        <v>327</v>
      </c>
      <c r="J877" s="4">
        <v>0</v>
      </c>
      <c r="K877" s="4">
        <v>0</v>
      </c>
      <c r="L877" s="4">
        <v>0</v>
      </c>
      <c r="M877" s="4">
        <v>0</v>
      </c>
      <c r="N877" s="5">
        <v>0</v>
      </c>
      <c r="O877" s="5">
        <v>0</v>
      </c>
      <c r="P877" s="5">
        <v>70000</v>
      </c>
      <c r="Q877" s="5">
        <v>0</v>
      </c>
      <c r="R877" s="5">
        <v>2400</v>
      </c>
      <c r="S877" s="5">
        <v>0</v>
      </c>
      <c r="T877" s="5">
        <f t="shared" si="103"/>
        <v>72400</v>
      </c>
      <c r="U877" s="5">
        <f t="shared" si="105"/>
        <v>0</v>
      </c>
      <c r="V877" s="5">
        <v>0</v>
      </c>
      <c r="W877" s="5">
        <v>0</v>
      </c>
      <c r="X877" s="5">
        <v>0</v>
      </c>
      <c r="Y877" s="5">
        <v>72400</v>
      </c>
      <c r="Z877" s="5">
        <f t="shared" si="104"/>
        <v>72400</v>
      </c>
      <c r="AA877" s="20">
        <f t="shared" si="102"/>
        <v>0</v>
      </c>
    </row>
    <row r="878" spans="1:27" ht="12.75">
      <c r="A878" s="3" t="s">
        <v>1908</v>
      </c>
      <c r="B878" s="3" t="s">
        <v>3187</v>
      </c>
      <c r="C878" s="3" t="s">
        <v>3188</v>
      </c>
      <c r="D878" s="3" t="s">
        <v>329</v>
      </c>
      <c r="E878" s="3" t="s">
        <v>300</v>
      </c>
      <c r="F878" s="3" t="s">
        <v>331</v>
      </c>
      <c r="G878" s="3" t="s">
        <v>1591</v>
      </c>
      <c r="H878" s="3" t="s">
        <v>1592</v>
      </c>
      <c r="I878" s="3" t="s">
        <v>647</v>
      </c>
      <c r="J878" s="4">
        <v>0</v>
      </c>
      <c r="K878" s="4">
        <v>0</v>
      </c>
      <c r="L878" s="4">
        <v>0</v>
      </c>
      <c r="M878" s="4">
        <v>0</v>
      </c>
      <c r="N878" s="5">
        <v>0</v>
      </c>
      <c r="O878" s="5">
        <v>0</v>
      </c>
      <c r="P878" s="5">
        <v>3600</v>
      </c>
      <c r="Q878" s="5">
        <v>0</v>
      </c>
      <c r="R878" s="5">
        <v>0</v>
      </c>
      <c r="S878" s="5">
        <v>0</v>
      </c>
      <c r="T878" s="5">
        <f t="shared" si="103"/>
        <v>3600</v>
      </c>
      <c r="U878" s="5">
        <f t="shared" si="105"/>
        <v>0</v>
      </c>
      <c r="V878" s="5">
        <v>0</v>
      </c>
      <c r="W878" s="5">
        <v>0</v>
      </c>
      <c r="X878" s="5">
        <v>0</v>
      </c>
      <c r="Y878" s="5">
        <v>3600</v>
      </c>
      <c r="Z878" s="5">
        <f t="shared" si="104"/>
        <v>3600</v>
      </c>
      <c r="AA878" s="20">
        <f t="shared" si="102"/>
        <v>0</v>
      </c>
    </row>
    <row r="879" spans="1:27" ht="12.75">
      <c r="A879" s="3" t="s">
        <v>1699</v>
      </c>
      <c r="B879" s="3" t="s">
        <v>3187</v>
      </c>
      <c r="C879" s="3" t="s">
        <v>3188</v>
      </c>
      <c r="D879" s="3" t="s">
        <v>332</v>
      </c>
      <c r="E879" s="3" t="s">
        <v>300</v>
      </c>
      <c r="F879" s="3" t="s">
        <v>334</v>
      </c>
      <c r="G879" s="3" t="s">
        <v>1591</v>
      </c>
      <c r="H879" s="3" t="s">
        <v>1592</v>
      </c>
      <c r="I879" s="3" t="s">
        <v>648</v>
      </c>
      <c r="J879" s="4">
        <v>0</v>
      </c>
      <c r="K879" s="4">
        <v>0</v>
      </c>
      <c r="L879" s="4">
        <v>0</v>
      </c>
      <c r="M879" s="4">
        <v>0</v>
      </c>
      <c r="N879" s="5">
        <v>0</v>
      </c>
      <c r="O879" s="5">
        <v>0</v>
      </c>
      <c r="P879" s="5">
        <v>2000</v>
      </c>
      <c r="Q879" s="5">
        <v>0</v>
      </c>
      <c r="R879" s="5">
        <v>250</v>
      </c>
      <c r="S879" s="5">
        <v>0</v>
      </c>
      <c r="T879" s="5">
        <f t="shared" si="103"/>
        <v>2250</v>
      </c>
      <c r="U879" s="5">
        <f t="shared" si="105"/>
        <v>0</v>
      </c>
      <c r="V879" s="5">
        <v>0</v>
      </c>
      <c r="W879" s="5">
        <v>0</v>
      </c>
      <c r="X879" s="5">
        <v>150</v>
      </c>
      <c r="Y879" s="5">
        <v>2400</v>
      </c>
      <c r="Z879" s="5">
        <f t="shared" si="104"/>
        <v>2400</v>
      </c>
      <c r="AA879" s="20">
        <f t="shared" si="102"/>
        <v>0</v>
      </c>
    </row>
    <row r="880" spans="1:27" ht="12.75">
      <c r="A880" s="3" t="s">
        <v>1751</v>
      </c>
      <c r="B880" s="3" t="s">
        <v>3187</v>
      </c>
      <c r="C880" s="3" t="s">
        <v>3188</v>
      </c>
      <c r="D880" s="3" t="s">
        <v>335</v>
      </c>
      <c r="E880" s="3" t="s">
        <v>300</v>
      </c>
      <c r="F880" s="3" t="s">
        <v>337</v>
      </c>
      <c r="G880" s="3" t="s">
        <v>1591</v>
      </c>
      <c r="H880" s="3" t="s">
        <v>1592</v>
      </c>
      <c r="I880" s="3" t="s">
        <v>649</v>
      </c>
      <c r="J880" s="4">
        <v>0</v>
      </c>
      <c r="K880" s="4">
        <v>0</v>
      </c>
      <c r="L880" s="4">
        <v>0.241</v>
      </c>
      <c r="M880" s="4">
        <v>0</v>
      </c>
      <c r="N880" s="5">
        <v>5148</v>
      </c>
      <c r="O880" s="5">
        <v>0</v>
      </c>
      <c r="P880" s="5">
        <v>0</v>
      </c>
      <c r="Q880" s="5">
        <v>0</v>
      </c>
      <c r="R880" s="5">
        <v>0</v>
      </c>
      <c r="S880" s="5">
        <v>0</v>
      </c>
      <c r="T880" s="5">
        <f t="shared" si="103"/>
        <v>5148</v>
      </c>
      <c r="U880" s="5">
        <f t="shared" si="105"/>
        <v>0</v>
      </c>
      <c r="V880" s="5">
        <v>0</v>
      </c>
      <c r="W880" s="5">
        <v>0</v>
      </c>
      <c r="X880" s="5">
        <v>8000</v>
      </c>
      <c r="Y880" s="5">
        <v>13148</v>
      </c>
      <c r="Z880" s="5">
        <f t="shared" si="104"/>
        <v>13148</v>
      </c>
      <c r="AA880" s="20">
        <f t="shared" si="102"/>
        <v>0</v>
      </c>
    </row>
    <row r="881" spans="1:27" ht="12.75">
      <c r="A881" s="3" t="s">
        <v>1842</v>
      </c>
      <c r="B881" s="3" t="s">
        <v>3187</v>
      </c>
      <c r="C881" s="3" t="s">
        <v>3188</v>
      </c>
      <c r="D881" s="3" t="s">
        <v>338</v>
      </c>
      <c r="E881" s="3" t="s">
        <v>300</v>
      </c>
      <c r="F881" s="3" t="s">
        <v>340</v>
      </c>
      <c r="G881" s="3" t="s">
        <v>1591</v>
      </c>
      <c r="H881" s="3" t="s">
        <v>1592</v>
      </c>
      <c r="I881" s="3" t="s">
        <v>650</v>
      </c>
      <c r="J881" s="4">
        <v>0</v>
      </c>
      <c r="K881" s="4">
        <v>0</v>
      </c>
      <c r="L881" s="4">
        <v>0</v>
      </c>
      <c r="M881" s="4">
        <v>0</v>
      </c>
      <c r="N881" s="5">
        <v>0</v>
      </c>
      <c r="O881" s="5">
        <v>0</v>
      </c>
      <c r="P881" s="5">
        <v>30000</v>
      </c>
      <c r="Q881" s="5">
        <v>2835</v>
      </c>
      <c r="R881" s="5">
        <v>3612</v>
      </c>
      <c r="S881" s="5">
        <v>0</v>
      </c>
      <c r="T881" s="5">
        <f t="shared" si="103"/>
        <v>36447</v>
      </c>
      <c r="U881" s="5">
        <f t="shared" si="105"/>
        <v>0</v>
      </c>
      <c r="V881" s="5">
        <v>9110</v>
      </c>
      <c r="W881" s="5">
        <v>0</v>
      </c>
      <c r="X881" s="5">
        <v>0</v>
      </c>
      <c r="Y881" s="5">
        <v>45557</v>
      </c>
      <c r="Z881" s="5">
        <f t="shared" si="104"/>
        <v>45557</v>
      </c>
      <c r="AA881" s="20">
        <f t="shared" si="102"/>
        <v>0</v>
      </c>
    </row>
    <row r="882" spans="1:27" ht="12.75">
      <c r="A882" s="3" t="s">
        <v>1964</v>
      </c>
      <c r="B882" s="3" t="s">
        <v>3187</v>
      </c>
      <c r="C882" s="3" t="s">
        <v>3188</v>
      </c>
      <c r="D882" s="3" t="s">
        <v>341</v>
      </c>
      <c r="E882" s="3" t="s">
        <v>300</v>
      </c>
      <c r="F882" s="3" t="s">
        <v>343</v>
      </c>
      <c r="G882" s="3" t="s">
        <v>1591</v>
      </c>
      <c r="H882" s="3" t="s">
        <v>1592</v>
      </c>
      <c r="I882" s="3" t="s">
        <v>342</v>
      </c>
      <c r="J882" s="4">
        <v>0</v>
      </c>
      <c r="K882" s="4">
        <v>0</v>
      </c>
      <c r="L882" s="4">
        <v>0</v>
      </c>
      <c r="M882" s="4">
        <v>0</v>
      </c>
      <c r="N882" s="5">
        <v>0</v>
      </c>
      <c r="O882" s="5">
        <v>0</v>
      </c>
      <c r="P882" s="5">
        <v>35000</v>
      </c>
      <c r="Q882" s="5">
        <v>0</v>
      </c>
      <c r="R882" s="5">
        <v>0</v>
      </c>
      <c r="S882" s="5">
        <v>0</v>
      </c>
      <c r="T882" s="5">
        <f t="shared" si="103"/>
        <v>35000</v>
      </c>
      <c r="U882" s="5">
        <f t="shared" si="105"/>
        <v>0</v>
      </c>
      <c r="V882" s="5">
        <v>0</v>
      </c>
      <c r="W882" s="5">
        <v>0</v>
      </c>
      <c r="X882" s="5">
        <v>0</v>
      </c>
      <c r="Y882" s="5">
        <v>35000</v>
      </c>
      <c r="Z882" s="5">
        <f t="shared" si="104"/>
        <v>35000</v>
      </c>
      <c r="AA882" s="20">
        <f t="shared" si="102"/>
        <v>0</v>
      </c>
    </row>
    <row r="883" spans="1:27" ht="12.75">
      <c r="A883" s="3" t="s">
        <v>1751</v>
      </c>
      <c r="B883" s="3" t="s">
        <v>3187</v>
      </c>
      <c r="C883" s="3" t="s">
        <v>3188</v>
      </c>
      <c r="D883" s="3" t="s">
        <v>344</v>
      </c>
      <c r="E883" s="3" t="s">
        <v>300</v>
      </c>
      <c r="F883" s="3" t="s">
        <v>346</v>
      </c>
      <c r="G883" s="3" t="s">
        <v>1591</v>
      </c>
      <c r="H883" s="3" t="s">
        <v>1592</v>
      </c>
      <c r="I883" s="3" t="s">
        <v>345</v>
      </c>
      <c r="J883" s="4">
        <v>0</v>
      </c>
      <c r="K883" s="4">
        <v>0</v>
      </c>
      <c r="L883" s="4">
        <v>0</v>
      </c>
      <c r="M883" s="4">
        <v>0</v>
      </c>
      <c r="N883" s="5">
        <v>0</v>
      </c>
      <c r="O883" s="5">
        <v>0</v>
      </c>
      <c r="P883" s="5">
        <v>0</v>
      </c>
      <c r="Q883" s="5">
        <v>0</v>
      </c>
      <c r="R883" s="5">
        <v>0</v>
      </c>
      <c r="S883" s="5">
        <v>0</v>
      </c>
      <c r="T883" s="5">
        <f t="shared" si="103"/>
        <v>0</v>
      </c>
      <c r="U883" s="5">
        <f t="shared" si="105"/>
        <v>0</v>
      </c>
      <c r="V883" s="5">
        <v>0</v>
      </c>
      <c r="W883" s="5">
        <v>0</v>
      </c>
      <c r="X883" s="5">
        <v>25000</v>
      </c>
      <c r="Y883" s="5">
        <v>25000</v>
      </c>
      <c r="Z883" s="5">
        <f t="shared" si="104"/>
        <v>25000</v>
      </c>
      <c r="AA883" s="20">
        <f t="shared" si="102"/>
        <v>0</v>
      </c>
    </row>
    <row r="884" spans="1:27" ht="12.75">
      <c r="A884" s="3" t="s">
        <v>1699</v>
      </c>
      <c r="B884" s="3" t="s">
        <v>3187</v>
      </c>
      <c r="C884" s="3" t="s">
        <v>3188</v>
      </c>
      <c r="D884" s="3" t="s">
        <v>347</v>
      </c>
      <c r="E884" s="3" t="s">
        <v>300</v>
      </c>
      <c r="F884" s="3" t="s">
        <v>349</v>
      </c>
      <c r="G884" s="3" t="s">
        <v>1591</v>
      </c>
      <c r="H884" s="3" t="s">
        <v>1592</v>
      </c>
      <c r="I884" s="3" t="s">
        <v>636</v>
      </c>
      <c r="J884" s="4">
        <v>0</v>
      </c>
      <c r="K884" s="4">
        <v>1</v>
      </c>
      <c r="L884" s="4">
        <v>0</v>
      </c>
      <c r="M884" s="4">
        <v>1.4060000000000001</v>
      </c>
      <c r="N884" s="5">
        <v>97368</v>
      </c>
      <c r="O884" s="5">
        <v>0</v>
      </c>
      <c r="P884" s="5">
        <v>65000</v>
      </c>
      <c r="Q884" s="5">
        <v>3000</v>
      </c>
      <c r="R884" s="5">
        <v>9960</v>
      </c>
      <c r="S884" s="5">
        <v>0</v>
      </c>
      <c r="T884" s="5">
        <f t="shared" si="103"/>
        <v>175328</v>
      </c>
      <c r="U884" s="5">
        <f t="shared" si="105"/>
        <v>0</v>
      </c>
      <c r="V884" s="5">
        <v>500</v>
      </c>
      <c r="W884" s="5">
        <v>0</v>
      </c>
      <c r="X884" s="5">
        <v>3200</v>
      </c>
      <c r="Y884" s="5">
        <v>179028</v>
      </c>
      <c r="Z884" s="5">
        <f t="shared" si="104"/>
        <v>179028</v>
      </c>
      <c r="AA884" s="20">
        <f t="shared" si="102"/>
        <v>0</v>
      </c>
    </row>
    <row r="885" spans="1:27" ht="12.75">
      <c r="A885" s="3" t="s">
        <v>1908</v>
      </c>
      <c r="B885" s="3" t="s">
        <v>3187</v>
      </c>
      <c r="C885" s="3" t="s">
        <v>3188</v>
      </c>
      <c r="D885" s="3" t="s">
        <v>350</v>
      </c>
      <c r="E885" s="3" t="s">
        <v>300</v>
      </c>
      <c r="F885" s="3" t="s">
        <v>352</v>
      </c>
      <c r="G885" s="3" t="s">
        <v>1591</v>
      </c>
      <c r="H885" s="3" t="s">
        <v>1592</v>
      </c>
      <c r="I885" s="3" t="s">
        <v>637</v>
      </c>
      <c r="J885" s="4">
        <v>0</v>
      </c>
      <c r="K885" s="4">
        <v>0</v>
      </c>
      <c r="L885" s="4">
        <v>0.407</v>
      </c>
      <c r="M885" s="4">
        <v>0</v>
      </c>
      <c r="N885" s="5">
        <v>18738</v>
      </c>
      <c r="O885" s="5">
        <v>0</v>
      </c>
      <c r="P885" s="5">
        <v>8050</v>
      </c>
      <c r="Q885" s="5">
        <v>0</v>
      </c>
      <c r="R885" s="5">
        <v>4112</v>
      </c>
      <c r="S885" s="5">
        <v>0</v>
      </c>
      <c r="T885" s="5">
        <f t="shared" si="103"/>
        <v>30900</v>
      </c>
      <c r="U885" s="5">
        <f t="shared" si="105"/>
        <v>0</v>
      </c>
      <c r="V885" s="5">
        <v>0</v>
      </c>
      <c r="W885" s="5">
        <v>0</v>
      </c>
      <c r="X885" s="5">
        <v>0</v>
      </c>
      <c r="Y885" s="5">
        <v>30900</v>
      </c>
      <c r="Z885" s="5">
        <f t="shared" si="104"/>
        <v>30900</v>
      </c>
      <c r="AA885" s="20">
        <f t="shared" si="102"/>
        <v>0</v>
      </c>
    </row>
    <row r="886" spans="1:27" ht="12.75">
      <c r="A886" s="3" t="s">
        <v>1936</v>
      </c>
      <c r="B886" s="3" t="s">
        <v>3187</v>
      </c>
      <c r="C886" s="3" t="s">
        <v>3188</v>
      </c>
      <c r="D886" s="3" t="s">
        <v>353</v>
      </c>
      <c r="E886" s="3" t="s">
        <v>300</v>
      </c>
      <c r="F886" s="3" t="s">
        <v>355</v>
      </c>
      <c r="G886" s="3" t="s">
        <v>1591</v>
      </c>
      <c r="H886" s="3" t="s">
        <v>1592</v>
      </c>
      <c r="I886" s="3" t="s">
        <v>638</v>
      </c>
      <c r="J886" s="4">
        <v>0</v>
      </c>
      <c r="K886" s="4">
        <v>0</v>
      </c>
      <c r="L886" s="4">
        <v>0</v>
      </c>
      <c r="M886" s="4">
        <v>0</v>
      </c>
      <c r="N886" s="5">
        <v>0</v>
      </c>
      <c r="O886" s="5">
        <v>0</v>
      </c>
      <c r="P886" s="5">
        <v>10000</v>
      </c>
      <c r="Q886" s="5">
        <v>0</v>
      </c>
      <c r="R886" s="5">
        <v>300</v>
      </c>
      <c r="S886" s="5">
        <v>0</v>
      </c>
      <c r="T886" s="5">
        <f t="shared" si="103"/>
        <v>10300</v>
      </c>
      <c r="U886" s="5">
        <f t="shared" si="105"/>
        <v>0</v>
      </c>
      <c r="V886" s="5">
        <v>0</v>
      </c>
      <c r="W886" s="5">
        <v>0</v>
      </c>
      <c r="X886" s="5">
        <v>0</v>
      </c>
      <c r="Y886" s="5">
        <v>10300</v>
      </c>
      <c r="Z886" s="5">
        <f t="shared" si="104"/>
        <v>10300</v>
      </c>
      <c r="AA886" s="20">
        <f t="shared" si="102"/>
        <v>0</v>
      </c>
    </row>
    <row r="887" spans="1:27" ht="12.75">
      <c r="A887" s="3" t="s">
        <v>1936</v>
      </c>
      <c r="B887" s="3" t="s">
        <v>3187</v>
      </c>
      <c r="C887" s="3" t="s">
        <v>3188</v>
      </c>
      <c r="D887" s="3" t="s">
        <v>356</v>
      </c>
      <c r="E887" s="3" t="s">
        <v>300</v>
      </c>
      <c r="F887" s="3" t="s">
        <v>358</v>
      </c>
      <c r="G887" s="3" t="s">
        <v>1591</v>
      </c>
      <c r="H887" s="3" t="s">
        <v>1592</v>
      </c>
      <c r="I887" s="3" t="s">
        <v>651</v>
      </c>
      <c r="J887" s="4">
        <v>0</v>
      </c>
      <c r="K887" s="4">
        <v>0</v>
      </c>
      <c r="L887" s="4">
        <v>0</v>
      </c>
      <c r="M887" s="4">
        <v>0</v>
      </c>
      <c r="N887" s="5">
        <v>0</v>
      </c>
      <c r="O887" s="5">
        <v>0</v>
      </c>
      <c r="P887" s="5">
        <v>5500</v>
      </c>
      <c r="Q887" s="5">
        <v>0</v>
      </c>
      <c r="R887" s="5">
        <v>0</v>
      </c>
      <c r="S887" s="5">
        <v>0</v>
      </c>
      <c r="T887" s="5">
        <f t="shared" si="103"/>
        <v>5500</v>
      </c>
      <c r="U887" s="5">
        <f t="shared" si="105"/>
        <v>0</v>
      </c>
      <c r="V887" s="5">
        <v>0</v>
      </c>
      <c r="W887" s="5">
        <v>0</v>
      </c>
      <c r="X887" s="5">
        <v>0</v>
      </c>
      <c r="Y887" s="5">
        <v>5500</v>
      </c>
      <c r="Z887" s="5">
        <f t="shared" si="104"/>
        <v>5500</v>
      </c>
      <c r="AA887" s="20">
        <f t="shared" si="102"/>
        <v>0</v>
      </c>
    </row>
    <row r="888" spans="1:27" ht="12.75">
      <c r="A888" s="3" t="s">
        <v>1699</v>
      </c>
      <c r="B888" s="3" t="s">
        <v>3187</v>
      </c>
      <c r="C888" s="3" t="s">
        <v>3188</v>
      </c>
      <c r="D888" s="3" t="s">
        <v>359</v>
      </c>
      <c r="E888" s="3" t="s">
        <v>300</v>
      </c>
      <c r="F888" s="3" t="s">
        <v>361</v>
      </c>
      <c r="G888" s="3" t="s">
        <v>1591</v>
      </c>
      <c r="H888" s="3" t="s">
        <v>1592</v>
      </c>
      <c r="I888" s="3" t="s">
        <v>360</v>
      </c>
      <c r="J888" s="4">
        <v>0</v>
      </c>
      <c r="K888" s="4">
        <v>0</v>
      </c>
      <c r="L888" s="4">
        <v>0</v>
      </c>
      <c r="M888" s="4">
        <v>0</v>
      </c>
      <c r="N888" s="5">
        <v>0</v>
      </c>
      <c r="O888" s="5">
        <v>0</v>
      </c>
      <c r="P888" s="5">
        <v>5500</v>
      </c>
      <c r="Q888" s="5">
        <v>7290</v>
      </c>
      <c r="R888" s="5">
        <v>220</v>
      </c>
      <c r="S888" s="5">
        <v>0</v>
      </c>
      <c r="T888" s="5">
        <f t="shared" si="103"/>
        <v>13010</v>
      </c>
      <c r="U888" s="5">
        <f t="shared" si="105"/>
        <v>0</v>
      </c>
      <c r="V888" s="5">
        <v>1500</v>
      </c>
      <c r="W888" s="5">
        <v>0</v>
      </c>
      <c r="X888" s="5">
        <v>0</v>
      </c>
      <c r="Y888" s="5">
        <v>14510</v>
      </c>
      <c r="Z888" s="5">
        <f t="shared" si="104"/>
        <v>14510</v>
      </c>
      <c r="AA888" s="20">
        <f t="shared" si="102"/>
        <v>0</v>
      </c>
    </row>
    <row r="889" spans="1:27" ht="12.75">
      <c r="A889" s="3" t="s">
        <v>1699</v>
      </c>
      <c r="B889" s="3" t="s">
        <v>3187</v>
      </c>
      <c r="C889" s="3" t="s">
        <v>3188</v>
      </c>
      <c r="D889" s="3" t="s">
        <v>362</v>
      </c>
      <c r="E889" s="3" t="s">
        <v>300</v>
      </c>
      <c r="F889" s="3" t="s">
        <v>364</v>
      </c>
      <c r="G889" s="3" t="s">
        <v>1591</v>
      </c>
      <c r="H889" s="3" t="s">
        <v>1592</v>
      </c>
      <c r="I889" s="3" t="s">
        <v>363</v>
      </c>
      <c r="J889" s="4">
        <v>0</v>
      </c>
      <c r="K889" s="4">
        <v>0</v>
      </c>
      <c r="L889" s="4">
        <v>0</v>
      </c>
      <c r="M889" s="4">
        <v>0</v>
      </c>
      <c r="N889" s="5">
        <v>0</v>
      </c>
      <c r="O889" s="5">
        <v>0</v>
      </c>
      <c r="P889" s="5">
        <v>3000</v>
      </c>
      <c r="Q889" s="5">
        <v>0</v>
      </c>
      <c r="R889" s="5">
        <v>300</v>
      </c>
      <c r="S889" s="5">
        <v>0</v>
      </c>
      <c r="T889" s="5">
        <f t="shared" si="103"/>
        <v>3300</v>
      </c>
      <c r="U889" s="5">
        <f t="shared" si="105"/>
        <v>0</v>
      </c>
      <c r="V889" s="5">
        <v>0</v>
      </c>
      <c r="W889" s="5">
        <v>0</v>
      </c>
      <c r="X889" s="5">
        <v>0</v>
      </c>
      <c r="Y889" s="5">
        <v>3300</v>
      </c>
      <c r="Z889" s="5">
        <f t="shared" si="104"/>
        <v>3300</v>
      </c>
      <c r="AA889" s="20">
        <f t="shared" si="102"/>
        <v>0</v>
      </c>
    </row>
    <row r="890" spans="1:27" ht="12.75">
      <c r="A890" s="3" t="s">
        <v>1751</v>
      </c>
      <c r="B890" s="3" t="s">
        <v>3187</v>
      </c>
      <c r="C890" s="3" t="s">
        <v>3188</v>
      </c>
      <c r="D890" s="3" t="s">
        <v>365</v>
      </c>
      <c r="E890" s="3" t="s">
        <v>300</v>
      </c>
      <c r="F890" s="3" t="s">
        <v>367</v>
      </c>
      <c r="G890" s="3" t="s">
        <v>1591</v>
      </c>
      <c r="H890" s="3" t="s">
        <v>1592</v>
      </c>
      <c r="I890" s="3" t="s">
        <v>639</v>
      </c>
      <c r="J890" s="4">
        <v>0</v>
      </c>
      <c r="K890" s="4">
        <v>0</v>
      </c>
      <c r="L890" s="4">
        <v>0.5</v>
      </c>
      <c r="M890" s="4">
        <v>0</v>
      </c>
      <c r="N890" s="5">
        <v>12012</v>
      </c>
      <c r="O890" s="5">
        <v>0</v>
      </c>
      <c r="P890" s="5">
        <v>0</v>
      </c>
      <c r="Q890" s="5">
        <v>0</v>
      </c>
      <c r="R890" s="5">
        <v>0</v>
      </c>
      <c r="S890" s="5">
        <v>0</v>
      </c>
      <c r="T890" s="5">
        <f t="shared" si="103"/>
        <v>12012</v>
      </c>
      <c r="U890" s="5">
        <f t="shared" si="105"/>
        <v>0</v>
      </c>
      <c r="V890" s="5">
        <v>0</v>
      </c>
      <c r="W890" s="5">
        <v>0</v>
      </c>
      <c r="X890" s="5">
        <v>0</v>
      </c>
      <c r="Y890" s="5">
        <v>12012</v>
      </c>
      <c r="Z890" s="5">
        <f t="shared" si="104"/>
        <v>12012</v>
      </c>
      <c r="AA890" s="20">
        <f t="shared" si="102"/>
        <v>0</v>
      </c>
    </row>
    <row r="891" spans="1:27" ht="12.75">
      <c r="A891" s="3" t="s">
        <v>1936</v>
      </c>
      <c r="B891" s="3" t="s">
        <v>3187</v>
      </c>
      <c r="C891" s="3" t="s">
        <v>3188</v>
      </c>
      <c r="D891" s="3" t="s">
        <v>368</v>
      </c>
      <c r="E891" s="3" t="s">
        <v>300</v>
      </c>
      <c r="F891" s="3" t="s">
        <v>370</v>
      </c>
      <c r="G891" s="3" t="s">
        <v>1591</v>
      </c>
      <c r="H891" s="3" t="s">
        <v>1592</v>
      </c>
      <c r="I891" s="3" t="s">
        <v>369</v>
      </c>
      <c r="J891" s="4">
        <v>0</v>
      </c>
      <c r="K891" s="4">
        <v>0</v>
      </c>
      <c r="L891" s="4">
        <v>0</v>
      </c>
      <c r="M891" s="4">
        <v>0</v>
      </c>
      <c r="N891" s="5">
        <v>0</v>
      </c>
      <c r="O891" s="5">
        <v>0</v>
      </c>
      <c r="P891" s="5">
        <v>3000</v>
      </c>
      <c r="Q891" s="5">
        <v>0</v>
      </c>
      <c r="R891" s="5">
        <v>0</v>
      </c>
      <c r="S891" s="5">
        <v>0</v>
      </c>
      <c r="T891" s="5">
        <f t="shared" si="103"/>
        <v>3000</v>
      </c>
      <c r="U891" s="5">
        <f t="shared" si="105"/>
        <v>0</v>
      </c>
      <c r="V891" s="5">
        <v>0</v>
      </c>
      <c r="W891" s="5">
        <v>0</v>
      </c>
      <c r="X891" s="5">
        <v>0</v>
      </c>
      <c r="Y891" s="5">
        <v>3000</v>
      </c>
      <c r="Z891" s="5">
        <f t="shared" si="104"/>
        <v>3000</v>
      </c>
      <c r="AA891" s="20">
        <f t="shared" si="102"/>
        <v>0</v>
      </c>
    </row>
    <row r="892" spans="1:27" ht="12.75">
      <c r="A892" s="3" t="s">
        <v>1936</v>
      </c>
      <c r="B892" s="3" t="s">
        <v>3187</v>
      </c>
      <c r="C892" s="3" t="s">
        <v>3188</v>
      </c>
      <c r="D892" s="3" t="s">
        <v>371</v>
      </c>
      <c r="E892" s="3" t="s">
        <v>300</v>
      </c>
      <c r="F892" s="3" t="s">
        <v>373</v>
      </c>
      <c r="G892" s="3" t="s">
        <v>1591</v>
      </c>
      <c r="H892" s="3" t="s">
        <v>1592</v>
      </c>
      <c r="I892" s="3" t="s">
        <v>372</v>
      </c>
      <c r="J892" s="4">
        <v>0</v>
      </c>
      <c r="K892" s="4">
        <v>0</v>
      </c>
      <c r="L892" s="4">
        <v>0</v>
      </c>
      <c r="M892" s="4">
        <v>0</v>
      </c>
      <c r="N892" s="5">
        <v>0</v>
      </c>
      <c r="O892" s="5">
        <v>0</v>
      </c>
      <c r="P892" s="5">
        <v>2000</v>
      </c>
      <c r="Q892" s="5">
        <v>0</v>
      </c>
      <c r="R892" s="5">
        <v>0</v>
      </c>
      <c r="S892" s="5">
        <v>0</v>
      </c>
      <c r="T892" s="5">
        <f t="shared" si="103"/>
        <v>2000</v>
      </c>
      <c r="U892" s="5">
        <f t="shared" si="105"/>
        <v>0</v>
      </c>
      <c r="V892" s="5">
        <v>0</v>
      </c>
      <c r="W892" s="5">
        <v>0</v>
      </c>
      <c r="X892" s="5">
        <v>0</v>
      </c>
      <c r="Y892" s="5">
        <v>2000</v>
      </c>
      <c r="Z892" s="5">
        <f t="shared" si="104"/>
        <v>2000</v>
      </c>
      <c r="AA892" s="20">
        <f t="shared" si="102"/>
        <v>0</v>
      </c>
    </row>
    <row r="893" spans="1:27" ht="12.75">
      <c r="A893" s="3" t="s">
        <v>1751</v>
      </c>
      <c r="B893" s="3" t="s">
        <v>3187</v>
      </c>
      <c r="C893" s="3" t="s">
        <v>3188</v>
      </c>
      <c r="D893" s="3" t="s">
        <v>374</v>
      </c>
      <c r="E893" s="3" t="s">
        <v>300</v>
      </c>
      <c r="F893" s="3" t="s">
        <v>376</v>
      </c>
      <c r="G893" s="3" t="s">
        <v>1591</v>
      </c>
      <c r="H893" s="3" t="s">
        <v>1592</v>
      </c>
      <c r="I893" s="3" t="s">
        <v>375</v>
      </c>
      <c r="J893" s="4">
        <v>0</v>
      </c>
      <c r="K893" s="4">
        <v>0</v>
      </c>
      <c r="L893" s="4">
        <v>0</v>
      </c>
      <c r="M893" s="4">
        <v>0</v>
      </c>
      <c r="N893" s="5">
        <v>0</v>
      </c>
      <c r="O893" s="5">
        <v>0</v>
      </c>
      <c r="P893" s="5">
        <v>0</v>
      </c>
      <c r="Q893" s="5">
        <v>0</v>
      </c>
      <c r="R893" s="5">
        <v>0</v>
      </c>
      <c r="S893" s="5">
        <v>0</v>
      </c>
      <c r="T893" s="5">
        <f t="shared" si="103"/>
        <v>0</v>
      </c>
      <c r="U893" s="5">
        <f t="shared" si="105"/>
        <v>0</v>
      </c>
      <c r="V893" s="5">
        <v>900</v>
      </c>
      <c r="W893" s="5">
        <v>0</v>
      </c>
      <c r="X893" s="5">
        <v>0</v>
      </c>
      <c r="Y893" s="5">
        <v>900</v>
      </c>
      <c r="Z893" s="5">
        <f t="shared" si="104"/>
        <v>900</v>
      </c>
      <c r="AA893" s="20">
        <f t="shared" si="102"/>
        <v>0</v>
      </c>
    </row>
    <row r="894" spans="1:27" ht="12.75">
      <c r="A894" s="3" t="s">
        <v>1584</v>
      </c>
      <c r="B894" s="3" t="s">
        <v>3187</v>
      </c>
      <c r="C894" s="3" t="s">
        <v>3188</v>
      </c>
      <c r="D894" s="3" t="s">
        <v>377</v>
      </c>
      <c r="E894" s="3" t="s">
        <v>300</v>
      </c>
      <c r="F894" s="3" t="s">
        <v>379</v>
      </c>
      <c r="G894" s="3" t="s">
        <v>1591</v>
      </c>
      <c r="H894" s="3" t="s">
        <v>1592</v>
      </c>
      <c r="I894" s="3" t="s">
        <v>640</v>
      </c>
      <c r="J894" s="4">
        <v>0</v>
      </c>
      <c r="K894" s="4">
        <v>0</v>
      </c>
      <c r="L894" s="4">
        <v>0</v>
      </c>
      <c r="M894" s="4">
        <v>0</v>
      </c>
      <c r="N894" s="5">
        <v>0</v>
      </c>
      <c r="O894" s="5">
        <v>0</v>
      </c>
      <c r="P894" s="5">
        <v>10000</v>
      </c>
      <c r="Q894" s="5">
        <v>0</v>
      </c>
      <c r="R894" s="5">
        <v>790</v>
      </c>
      <c r="S894" s="5">
        <v>0</v>
      </c>
      <c r="T894" s="5">
        <f t="shared" si="103"/>
        <v>10790</v>
      </c>
      <c r="U894" s="5">
        <f t="shared" si="105"/>
        <v>0</v>
      </c>
      <c r="V894" s="5">
        <v>0</v>
      </c>
      <c r="W894" s="5">
        <v>0</v>
      </c>
      <c r="X894" s="5">
        <v>0</v>
      </c>
      <c r="Y894" s="5">
        <v>10790</v>
      </c>
      <c r="Z894" s="5">
        <f t="shared" si="104"/>
        <v>10790</v>
      </c>
      <c r="AA894" s="20">
        <f t="shared" si="102"/>
        <v>0</v>
      </c>
    </row>
    <row r="895" spans="1:27" ht="12.75">
      <c r="A895" s="3" t="s">
        <v>1584</v>
      </c>
      <c r="B895" s="3" t="s">
        <v>3187</v>
      </c>
      <c r="C895" s="3" t="s">
        <v>3188</v>
      </c>
      <c r="D895" s="3" t="s">
        <v>380</v>
      </c>
      <c r="E895" s="3" t="s">
        <v>300</v>
      </c>
      <c r="F895" s="3" t="s">
        <v>382</v>
      </c>
      <c r="G895" s="3" t="s">
        <v>1591</v>
      </c>
      <c r="H895" s="3" t="s">
        <v>1592</v>
      </c>
      <c r="I895" s="3" t="s">
        <v>641</v>
      </c>
      <c r="J895" s="4">
        <v>0</v>
      </c>
      <c r="K895" s="4">
        <v>0</v>
      </c>
      <c r="L895" s="4">
        <v>0</v>
      </c>
      <c r="M895" s="4">
        <v>0.31</v>
      </c>
      <c r="N895" s="5">
        <v>6816</v>
      </c>
      <c r="O895" s="5">
        <v>0</v>
      </c>
      <c r="P895" s="5">
        <v>0</v>
      </c>
      <c r="Q895" s="5">
        <v>0</v>
      </c>
      <c r="R895" s="5">
        <v>0</v>
      </c>
      <c r="S895" s="5">
        <v>0</v>
      </c>
      <c r="T895" s="5">
        <f t="shared" si="103"/>
        <v>6816</v>
      </c>
      <c r="U895" s="5">
        <f t="shared" si="105"/>
        <v>0</v>
      </c>
      <c r="V895" s="5">
        <v>0</v>
      </c>
      <c r="W895" s="5">
        <v>0</v>
      </c>
      <c r="X895" s="5">
        <v>0</v>
      </c>
      <c r="Y895" s="5">
        <v>6816</v>
      </c>
      <c r="Z895" s="5">
        <f t="shared" si="104"/>
        <v>6816</v>
      </c>
      <c r="AA895" s="20">
        <f t="shared" si="102"/>
        <v>0</v>
      </c>
    </row>
    <row r="896" spans="1:27" ht="12.75">
      <c r="A896" s="3" t="s">
        <v>1871</v>
      </c>
      <c r="B896" s="3" t="s">
        <v>3187</v>
      </c>
      <c r="C896" s="3" t="s">
        <v>3188</v>
      </c>
      <c r="D896" s="3" t="s">
        <v>383</v>
      </c>
      <c r="E896" s="3" t="s">
        <v>300</v>
      </c>
      <c r="F896" s="3" t="s">
        <v>385</v>
      </c>
      <c r="G896" s="3" t="s">
        <v>1591</v>
      </c>
      <c r="H896" s="3" t="s">
        <v>1592</v>
      </c>
      <c r="I896" s="3" t="s">
        <v>384</v>
      </c>
      <c r="J896" s="4">
        <v>0</v>
      </c>
      <c r="K896" s="4">
        <v>0</v>
      </c>
      <c r="L896" s="4">
        <v>0</v>
      </c>
      <c r="M896" s="4">
        <v>0</v>
      </c>
      <c r="N896" s="5">
        <v>0</v>
      </c>
      <c r="O896" s="5">
        <v>0</v>
      </c>
      <c r="P896" s="5">
        <v>2000</v>
      </c>
      <c r="Q896" s="5">
        <v>0</v>
      </c>
      <c r="R896" s="5">
        <v>0</v>
      </c>
      <c r="S896" s="5">
        <v>0</v>
      </c>
      <c r="T896" s="5">
        <f t="shared" si="103"/>
        <v>2000</v>
      </c>
      <c r="U896" s="5">
        <f t="shared" si="105"/>
        <v>0</v>
      </c>
      <c r="V896" s="5">
        <v>0</v>
      </c>
      <c r="W896" s="5">
        <v>0</v>
      </c>
      <c r="X896" s="5">
        <v>0</v>
      </c>
      <c r="Y896" s="5">
        <v>2000</v>
      </c>
      <c r="Z896" s="5">
        <f t="shared" si="104"/>
        <v>2000</v>
      </c>
      <c r="AA896" s="20">
        <f t="shared" si="102"/>
        <v>0</v>
      </c>
    </row>
    <row r="897" spans="1:27" ht="12.75">
      <c r="A897" s="3" t="s">
        <v>2040</v>
      </c>
      <c r="B897" s="3" t="s">
        <v>3187</v>
      </c>
      <c r="C897" s="3" t="s">
        <v>3188</v>
      </c>
      <c r="D897" s="3" t="s">
        <v>386</v>
      </c>
      <c r="E897" s="3" t="s">
        <v>300</v>
      </c>
      <c r="F897" s="3" t="s">
        <v>388</v>
      </c>
      <c r="G897" s="3" t="s">
        <v>1591</v>
      </c>
      <c r="H897" s="3" t="s">
        <v>1592</v>
      </c>
      <c r="I897" s="3" t="s">
        <v>652</v>
      </c>
      <c r="J897" s="4">
        <v>0</v>
      </c>
      <c r="K897" s="4">
        <v>0.19</v>
      </c>
      <c r="L897" s="4">
        <v>0</v>
      </c>
      <c r="M897" s="4">
        <v>0</v>
      </c>
      <c r="N897" s="5">
        <v>9000</v>
      </c>
      <c r="O897" s="5">
        <v>0</v>
      </c>
      <c r="P897" s="5">
        <v>0</v>
      </c>
      <c r="Q897" s="5">
        <v>0</v>
      </c>
      <c r="R897" s="5">
        <v>0</v>
      </c>
      <c r="S897" s="5">
        <v>0</v>
      </c>
      <c r="T897" s="5">
        <f t="shared" si="103"/>
        <v>9000</v>
      </c>
      <c r="U897" s="5">
        <f t="shared" si="105"/>
        <v>0</v>
      </c>
      <c r="V897" s="5">
        <v>0</v>
      </c>
      <c r="W897" s="5">
        <v>0</v>
      </c>
      <c r="X897" s="5">
        <v>0</v>
      </c>
      <c r="Y897" s="5">
        <v>9000</v>
      </c>
      <c r="Z897" s="5">
        <f t="shared" si="104"/>
        <v>9000</v>
      </c>
      <c r="AA897" s="20">
        <f t="shared" si="102"/>
        <v>0</v>
      </c>
    </row>
    <row r="898" spans="1:27" ht="12.75">
      <c r="A898" s="3" t="s">
        <v>1751</v>
      </c>
      <c r="B898" s="3" t="s">
        <v>3187</v>
      </c>
      <c r="C898" s="3" t="s">
        <v>3188</v>
      </c>
      <c r="D898" s="3" t="s">
        <v>389</v>
      </c>
      <c r="E898" s="3" t="s">
        <v>300</v>
      </c>
      <c r="F898" s="3" t="s">
        <v>391</v>
      </c>
      <c r="G898" s="3" t="s">
        <v>1591</v>
      </c>
      <c r="H898" s="3" t="s">
        <v>1592</v>
      </c>
      <c r="I898" s="3" t="s">
        <v>390</v>
      </c>
      <c r="J898" s="4">
        <v>0</v>
      </c>
      <c r="K898" s="4">
        <v>0</v>
      </c>
      <c r="L898" s="4">
        <v>0</v>
      </c>
      <c r="M898" s="4">
        <v>0</v>
      </c>
      <c r="N898" s="5">
        <v>0</v>
      </c>
      <c r="O898" s="5">
        <v>0</v>
      </c>
      <c r="P898" s="5">
        <v>0</v>
      </c>
      <c r="Q898" s="5">
        <v>0</v>
      </c>
      <c r="R898" s="5">
        <v>0</v>
      </c>
      <c r="S898" s="5">
        <v>0</v>
      </c>
      <c r="T898" s="5">
        <f t="shared" si="103"/>
        <v>0</v>
      </c>
      <c r="U898" s="5">
        <v>4500</v>
      </c>
      <c r="V898" s="5">
        <v>0</v>
      </c>
      <c r="W898" s="5">
        <v>0</v>
      </c>
      <c r="X898" s="5">
        <v>0</v>
      </c>
      <c r="Y898" s="5">
        <v>4500</v>
      </c>
      <c r="Z898" s="5">
        <f t="shared" si="104"/>
        <v>4500</v>
      </c>
      <c r="AA898" s="20">
        <f t="shared" si="102"/>
        <v>0</v>
      </c>
    </row>
    <row r="899" spans="1:27" ht="12.75">
      <c r="A899" s="3" t="s">
        <v>1584</v>
      </c>
      <c r="B899" s="3" t="s">
        <v>898</v>
      </c>
      <c r="C899" s="3" t="s">
        <v>932</v>
      </c>
      <c r="D899" s="3" t="s">
        <v>1114</v>
      </c>
      <c r="E899" s="3" t="s">
        <v>1116</v>
      </c>
      <c r="F899" s="3" t="s">
        <v>1117</v>
      </c>
      <c r="G899" s="3" t="s">
        <v>1591</v>
      </c>
      <c r="H899" s="3" t="s">
        <v>1592</v>
      </c>
      <c r="I899" s="3" t="s">
        <v>1115</v>
      </c>
      <c r="J899" s="4">
        <v>0</v>
      </c>
      <c r="K899" s="4">
        <v>0</v>
      </c>
      <c r="L899" s="4">
        <v>10</v>
      </c>
      <c r="M899" s="4">
        <v>0</v>
      </c>
      <c r="N899" s="5">
        <v>183168</v>
      </c>
      <c r="O899" s="5">
        <v>0</v>
      </c>
      <c r="P899" s="5">
        <v>23182</v>
      </c>
      <c r="Q899" s="5">
        <v>0</v>
      </c>
      <c r="R899" s="5">
        <v>32912</v>
      </c>
      <c r="S899" s="5">
        <v>0</v>
      </c>
      <c r="T899" s="5">
        <f t="shared" si="103"/>
        <v>239262</v>
      </c>
      <c r="U899" s="5">
        <v>655970</v>
      </c>
      <c r="V899" s="5">
        <v>0</v>
      </c>
      <c r="W899" s="5">
        <v>0</v>
      </c>
      <c r="X899" s="5">
        <v>0</v>
      </c>
      <c r="Y899" s="5">
        <v>895232</v>
      </c>
      <c r="Z899" s="5">
        <f t="shared" si="104"/>
        <v>895232</v>
      </c>
      <c r="AA899" s="20">
        <f t="shared" si="102"/>
        <v>0</v>
      </c>
    </row>
    <row r="900" spans="1:27" ht="12.75">
      <c r="A900" s="3" t="s">
        <v>1584</v>
      </c>
      <c r="B900" s="3" t="s">
        <v>898</v>
      </c>
      <c r="C900" s="3" t="s">
        <v>932</v>
      </c>
      <c r="D900" s="3" t="s">
        <v>1118</v>
      </c>
      <c r="E900" s="3" t="s">
        <v>1116</v>
      </c>
      <c r="F900" s="3" t="s">
        <v>1120</v>
      </c>
      <c r="G900" s="3" t="s">
        <v>1591</v>
      </c>
      <c r="H900" s="3" t="s">
        <v>1592</v>
      </c>
      <c r="I900" s="3" t="s">
        <v>1119</v>
      </c>
      <c r="J900" s="4">
        <v>0</v>
      </c>
      <c r="K900" s="4">
        <v>0</v>
      </c>
      <c r="L900" s="4">
        <v>4</v>
      </c>
      <c r="M900" s="4">
        <v>0</v>
      </c>
      <c r="N900" s="5">
        <v>65448</v>
      </c>
      <c r="O900" s="5">
        <v>0</v>
      </c>
      <c r="P900" s="5">
        <v>34905</v>
      </c>
      <c r="Q900" s="5">
        <v>0</v>
      </c>
      <c r="R900" s="5">
        <v>23344</v>
      </c>
      <c r="S900" s="5">
        <v>0</v>
      </c>
      <c r="T900" s="5">
        <f t="shared" si="103"/>
        <v>123697</v>
      </c>
      <c r="U900" s="5">
        <v>476456</v>
      </c>
      <c r="V900" s="5">
        <v>0</v>
      </c>
      <c r="W900" s="5">
        <v>0</v>
      </c>
      <c r="X900" s="5">
        <v>0</v>
      </c>
      <c r="Y900" s="5">
        <v>600153</v>
      </c>
      <c r="Z900" s="5">
        <f t="shared" si="104"/>
        <v>600153</v>
      </c>
      <c r="AA900" s="20">
        <f t="shared" si="102"/>
        <v>0</v>
      </c>
    </row>
    <row r="901" spans="1:27" ht="12.75">
      <c r="A901" s="3" t="s">
        <v>2912</v>
      </c>
      <c r="B901" s="3" t="s">
        <v>898</v>
      </c>
      <c r="C901" s="3" t="s">
        <v>932</v>
      </c>
      <c r="D901" s="3" t="s">
        <v>1121</v>
      </c>
      <c r="E901" s="3" t="s">
        <v>1123</v>
      </c>
      <c r="F901" s="3" t="s">
        <v>1124</v>
      </c>
      <c r="G901" s="3" t="s">
        <v>1591</v>
      </c>
      <c r="H901" s="3" t="s">
        <v>1592</v>
      </c>
      <c r="I901" s="3" t="s">
        <v>1122</v>
      </c>
      <c r="J901" s="4">
        <v>0</v>
      </c>
      <c r="K901" s="4">
        <v>0</v>
      </c>
      <c r="L901" s="4">
        <v>13.25</v>
      </c>
      <c r="M901" s="4">
        <v>0</v>
      </c>
      <c r="N901" s="5">
        <v>370833</v>
      </c>
      <c r="O901" s="5">
        <v>0</v>
      </c>
      <c r="P901" s="5">
        <v>315597</v>
      </c>
      <c r="Q901" s="5">
        <v>0</v>
      </c>
      <c r="R901" s="5">
        <v>126052</v>
      </c>
      <c r="S901" s="5">
        <v>0</v>
      </c>
      <c r="T901" s="5">
        <f t="shared" si="103"/>
        <v>812482</v>
      </c>
      <c r="U901" s="5">
        <v>49872</v>
      </c>
      <c r="V901" s="5">
        <v>0</v>
      </c>
      <c r="W901" s="5">
        <v>1410150</v>
      </c>
      <c r="X901" s="5">
        <v>5000</v>
      </c>
      <c r="Y901" s="5">
        <v>2277504</v>
      </c>
      <c r="Z901" s="5">
        <f t="shared" si="104"/>
        <v>2277504</v>
      </c>
      <c r="AA901" s="20">
        <f t="shared" si="102"/>
        <v>0</v>
      </c>
    </row>
    <row r="902" spans="1:27" ht="12.75">
      <c r="A902" s="3" t="s">
        <v>1584</v>
      </c>
      <c r="B902" s="3" t="s">
        <v>898</v>
      </c>
      <c r="C902" s="3" t="s">
        <v>932</v>
      </c>
      <c r="D902" s="3" t="s">
        <v>1125</v>
      </c>
      <c r="E902" s="3" t="s">
        <v>1116</v>
      </c>
      <c r="F902" s="3" t="s">
        <v>1127</v>
      </c>
      <c r="G902" s="3" t="s">
        <v>1591</v>
      </c>
      <c r="H902" s="3" t="s">
        <v>1592</v>
      </c>
      <c r="I902" s="3" t="s">
        <v>1126</v>
      </c>
      <c r="J902" s="4">
        <v>0</v>
      </c>
      <c r="K902" s="4">
        <v>0</v>
      </c>
      <c r="L902" s="4">
        <v>10</v>
      </c>
      <c r="M902" s="4">
        <v>0</v>
      </c>
      <c r="N902" s="5">
        <v>186552</v>
      </c>
      <c r="O902" s="5">
        <v>0</v>
      </c>
      <c r="P902" s="5">
        <v>23182</v>
      </c>
      <c r="Q902" s="5">
        <v>0</v>
      </c>
      <c r="R902" s="5">
        <v>30405</v>
      </c>
      <c r="S902" s="5">
        <v>0</v>
      </c>
      <c r="T902" s="5">
        <f t="shared" si="103"/>
        <v>240139</v>
      </c>
      <c r="U902" s="5">
        <v>708092</v>
      </c>
      <c r="V902" s="5">
        <v>0</v>
      </c>
      <c r="W902" s="5">
        <v>0</v>
      </c>
      <c r="X902" s="5">
        <v>0</v>
      </c>
      <c r="Y902" s="5">
        <v>948231</v>
      </c>
      <c r="Z902" s="5">
        <f t="shared" si="104"/>
        <v>948231</v>
      </c>
      <c r="AA902" s="20">
        <f t="shared" si="102"/>
        <v>0</v>
      </c>
    </row>
    <row r="903" spans="1:27" ht="12.75">
      <c r="A903" s="3" t="s">
        <v>1584</v>
      </c>
      <c r="B903" s="3" t="s">
        <v>898</v>
      </c>
      <c r="C903" s="3" t="s">
        <v>932</v>
      </c>
      <c r="D903" s="3" t="s">
        <v>1128</v>
      </c>
      <c r="E903" s="3" t="s">
        <v>1116</v>
      </c>
      <c r="F903" s="3" t="s">
        <v>1130</v>
      </c>
      <c r="G903" s="3" t="s">
        <v>1591</v>
      </c>
      <c r="H903" s="3" t="s">
        <v>1592</v>
      </c>
      <c r="I903" s="3" t="s">
        <v>1129</v>
      </c>
      <c r="J903" s="4">
        <v>0</v>
      </c>
      <c r="K903" s="4">
        <v>0</v>
      </c>
      <c r="L903" s="4">
        <v>4</v>
      </c>
      <c r="M903" s="4">
        <v>0</v>
      </c>
      <c r="N903" s="5">
        <v>79392</v>
      </c>
      <c r="O903" s="5">
        <v>0</v>
      </c>
      <c r="P903" s="5">
        <v>107403</v>
      </c>
      <c r="Q903" s="5">
        <v>0</v>
      </c>
      <c r="R903" s="5">
        <v>25981</v>
      </c>
      <c r="S903" s="5">
        <v>0</v>
      </c>
      <c r="T903" s="5">
        <f t="shared" si="103"/>
        <v>212776</v>
      </c>
      <c r="U903" s="5">
        <v>125126</v>
      </c>
      <c r="V903" s="5">
        <v>0</v>
      </c>
      <c r="W903" s="5">
        <v>0</v>
      </c>
      <c r="X903" s="5">
        <v>0</v>
      </c>
      <c r="Y903" s="5">
        <v>337902</v>
      </c>
      <c r="Z903" s="5">
        <f t="shared" si="104"/>
        <v>337902</v>
      </c>
      <c r="AA903" s="20">
        <f t="shared" si="102"/>
        <v>0</v>
      </c>
    </row>
    <row r="904" spans="1:27" ht="12.75">
      <c r="A904" s="3" t="s">
        <v>1584</v>
      </c>
      <c r="B904" s="3" t="s">
        <v>898</v>
      </c>
      <c r="C904" s="3" t="s">
        <v>932</v>
      </c>
      <c r="D904" s="3" t="s">
        <v>1131</v>
      </c>
      <c r="E904" s="3" t="s">
        <v>1116</v>
      </c>
      <c r="F904" s="3" t="s">
        <v>1133</v>
      </c>
      <c r="G904" s="3" t="s">
        <v>1591</v>
      </c>
      <c r="H904" s="3" t="s">
        <v>1592</v>
      </c>
      <c r="I904" s="3" t="s">
        <v>1132</v>
      </c>
      <c r="J904" s="4">
        <v>0</v>
      </c>
      <c r="K904" s="4">
        <v>0</v>
      </c>
      <c r="L904" s="4">
        <v>4</v>
      </c>
      <c r="M904" s="4">
        <v>0</v>
      </c>
      <c r="N904" s="5">
        <v>61884</v>
      </c>
      <c r="O904" s="5">
        <v>0</v>
      </c>
      <c r="P904" s="5">
        <v>48763</v>
      </c>
      <c r="Q904" s="5">
        <v>0</v>
      </c>
      <c r="R904" s="5">
        <v>21082</v>
      </c>
      <c r="S904" s="5">
        <v>0</v>
      </c>
      <c r="T904" s="5">
        <f t="shared" si="103"/>
        <v>131729</v>
      </c>
      <c r="U904" s="5">
        <v>216605</v>
      </c>
      <c r="V904" s="5">
        <v>0</v>
      </c>
      <c r="W904" s="5">
        <v>0</v>
      </c>
      <c r="X904" s="5">
        <v>0</v>
      </c>
      <c r="Y904" s="5">
        <v>348334</v>
      </c>
      <c r="Z904" s="5">
        <f t="shared" si="104"/>
        <v>348334</v>
      </c>
      <c r="AA904" s="20">
        <f t="shared" si="102"/>
        <v>0</v>
      </c>
    </row>
    <row r="905" spans="1:27" ht="12.75">
      <c r="A905" s="3" t="s">
        <v>1584</v>
      </c>
      <c r="B905" s="3" t="s">
        <v>898</v>
      </c>
      <c r="C905" s="3" t="s">
        <v>932</v>
      </c>
      <c r="D905" s="3" t="s">
        <v>1134</v>
      </c>
      <c r="E905" s="3" t="s">
        <v>1116</v>
      </c>
      <c r="F905" s="3" t="s">
        <v>1136</v>
      </c>
      <c r="G905" s="3" t="s">
        <v>1591</v>
      </c>
      <c r="H905" s="3" t="s">
        <v>1592</v>
      </c>
      <c r="I905" s="3" t="s">
        <v>1135</v>
      </c>
      <c r="J905" s="4">
        <v>0</v>
      </c>
      <c r="K905" s="4">
        <v>0</v>
      </c>
      <c r="L905" s="4">
        <v>4</v>
      </c>
      <c r="M905" s="4">
        <v>0</v>
      </c>
      <c r="N905" s="5">
        <v>63972</v>
      </c>
      <c r="O905" s="5">
        <v>0</v>
      </c>
      <c r="P905" s="5">
        <v>15508</v>
      </c>
      <c r="Q905" s="5">
        <v>0</v>
      </c>
      <c r="R905" s="5">
        <v>0</v>
      </c>
      <c r="S905" s="5">
        <v>0</v>
      </c>
      <c r="T905" s="5">
        <f t="shared" si="103"/>
        <v>79480</v>
      </c>
      <c r="U905" s="5">
        <v>191802</v>
      </c>
      <c r="V905" s="5">
        <v>0</v>
      </c>
      <c r="W905" s="5">
        <v>0</v>
      </c>
      <c r="X905" s="5">
        <v>0</v>
      </c>
      <c r="Y905" s="5">
        <v>271282</v>
      </c>
      <c r="Z905" s="5">
        <f t="shared" si="104"/>
        <v>271282</v>
      </c>
      <c r="AA905" s="20">
        <f t="shared" si="102"/>
        <v>0</v>
      </c>
    </row>
    <row r="906" spans="1:27" ht="12.75">
      <c r="A906" s="3" t="s">
        <v>1584</v>
      </c>
      <c r="B906" s="3" t="s">
        <v>898</v>
      </c>
      <c r="C906" s="3" t="s">
        <v>932</v>
      </c>
      <c r="D906" s="3" t="s">
        <v>1137</v>
      </c>
      <c r="E906" s="3" t="s">
        <v>1116</v>
      </c>
      <c r="F906" s="3" t="s">
        <v>1139</v>
      </c>
      <c r="G906" s="3" t="s">
        <v>1591</v>
      </c>
      <c r="H906" s="3" t="s">
        <v>1592</v>
      </c>
      <c r="I906" s="3" t="s">
        <v>1138</v>
      </c>
      <c r="J906" s="4">
        <v>0</v>
      </c>
      <c r="K906" s="4">
        <v>0</v>
      </c>
      <c r="L906" s="4">
        <v>4</v>
      </c>
      <c r="M906" s="4">
        <v>0</v>
      </c>
      <c r="N906" s="5">
        <v>62520</v>
      </c>
      <c r="O906" s="5">
        <v>0</v>
      </c>
      <c r="P906" s="5">
        <v>48763</v>
      </c>
      <c r="Q906" s="5">
        <v>0</v>
      </c>
      <c r="R906" s="5">
        <v>19445</v>
      </c>
      <c r="S906" s="5">
        <v>0</v>
      </c>
      <c r="T906" s="5">
        <f t="shared" si="103"/>
        <v>130728</v>
      </c>
      <c r="U906" s="5">
        <v>237313</v>
      </c>
      <c r="V906" s="5">
        <v>0</v>
      </c>
      <c r="W906" s="5">
        <v>0</v>
      </c>
      <c r="X906" s="5">
        <v>0</v>
      </c>
      <c r="Y906" s="5">
        <v>368041</v>
      </c>
      <c r="Z906" s="5">
        <f t="shared" si="104"/>
        <v>368041</v>
      </c>
      <c r="AA906" s="20">
        <f t="shared" si="102"/>
        <v>0</v>
      </c>
    </row>
    <row r="907" spans="1:27" ht="12.75">
      <c r="A907" s="3" t="s">
        <v>1584</v>
      </c>
      <c r="B907" s="3" t="s">
        <v>898</v>
      </c>
      <c r="C907" s="3" t="s">
        <v>932</v>
      </c>
      <c r="D907" s="3" t="s">
        <v>1140</v>
      </c>
      <c r="E907" s="3" t="s">
        <v>1116</v>
      </c>
      <c r="F907" s="3" t="s">
        <v>1142</v>
      </c>
      <c r="G907" s="3" t="s">
        <v>1591</v>
      </c>
      <c r="H907" s="3" t="s">
        <v>1592</v>
      </c>
      <c r="I907" s="3" t="s">
        <v>1141</v>
      </c>
      <c r="J907" s="4">
        <v>0</v>
      </c>
      <c r="K907" s="4">
        <v>0</v>
      </c>
      <c r="L907" s="4">
        <v>11</v>
      </c>
      <c r="M907" s="4">
        <v>0</v>
      </c>
      <c r="N907" s="5">
        <v>228816</v>
      </c>
      <c r="O907" s="5">
        <v>0</v>
      </c>
      <c r="P907" s="5">
        <v>91045</v>
      </c>
      <c r="Q907" s="5">
        <v>0</v>
      </c>
      <c r="R907" s="5">
        <v>40328</v>
      </c>
      <c r="S907" s="5">
        <v>0</v>
      </c>
      <c r="T907" s="5">
        <f t="shared" si="103"/>
        <v>360189</v>
      </c>
      <c r="U907" s="5">
        <v>1115864</v>
      </c>
      <c r="V907" s="5">
        <v>0</v>
      </c>
      <c r="W907" s="5">
        <v>0</v>
      </c>
      <c r="X907" s="5">
        <v>0</v>
      </c>
      <c r="Y907" s="5">
        <v>1476053</v>
      </c>
      <c r="Z907" s="5">
        <f t="shared" si="104"/>
        <v>1476053</v>
      </c>
      <c r="AA907" s="20">
        <f t="shared" si="102"/>
        <v>0</v>
      </c>
    </row>
    <row r="908" spans="1:27" ht="12.75">
      <c r="A908" s="3" t="s">
        <v>2912</v>
      </c>
      <c r="B908" s="3" t="s">
        <v>898</v>
      </c>
      <c r="C908" s="3" t="s">
        <v>932</v>
      </c>
      <c r="D908" s="3" t="s">
        <v>1143</v>
      </c>
      <c r="E908" s="3" t="s">
        <v>1145</v>
      </c>
      <c r="F908" s="3" t="s">
        <v>1146</v>
      </c>
      <c r="G908" s="3" t="s">
        <v>1591</v>
      </c>
      <c r="H908" s="3" t="s">
        <v>1592</v>
      </c>
      <c r="I908" s="3" t="s">
        <v>1144</v>
      </c>
      <c r="J908" s="4">
        <v>0</v>
      </c>
      <c r="K908" s="4">
        <v>0</v>
      </c>
      <c r="L908" s="4">
        <v>21</v>
      </c>
      <c r="M908" s="4">
        <v>0</v>
      </c>
      <c r="N908" s="5">
        <v>434328</v>
      </c>
      <c r="O908" s="5">
        <v>0</v>
      </c>
      <c r="P908" s="5">
        <v>100000</v>
      </c>
      <c r="Q908" s="5">
        <v>0</v>
      </c>
      <c r="R908" s="5">
        <v>134441</v>
      </c>
      <c r="S908" s="5">
        <v>0</v>
      </c>
      <c r="T908" s="5">
        <f t="shared" si="103"/>
        <v>668769</v>
      </c>
      <c r="U908" s="5">
        <v>134000</v>
      </c>
      <c r="V908" s="5">
        <v>0</v>
      </c>
      <c r="W908" s="5">
        <v>3260140</v>
      </c>
      <c r="X908" s="5">
        <v>0</v>
      </c>
      <c r="Y908" s="5">
        <v>4062909</v>
      </c>
      <c r="Z908" s="5">
        <f t="shared" si="104"/>
        <v>4062909</v>
      </c>
      <c r="AA908" s="20">
        <f t="shared" si="102"/>
        <v>0</v>
      </c>
    </row>
    <row r="909" spans="1:27" ht="12.75">
      <c r="A909" s="3" t="s">
        <v>1584</v>
      </c>
      <c r="B909" s="3" t="s">
        <v>898</v>
      </c>
      <c r="C909" s="3" t="s">
        <v>932</v>
      </c>
      <c r="D909" s="3" t="s">
        <v>1147</v>
      </c>
      <c r="E909" s="3" t="s">
        <v>1149</v>
      </c>
      <c r="F909" s="3" t="s">
        <v>1150</v>
      </c>
      <c r="G909" s="3" t="s">
        <v>1591</v>
      </c>
      <c r="H909" s="3" t="s">
        <v>1592</v>
      </c>
      <c r="I909" s="3" t="s">
        <v>1148</v>
      </c>
      <c r="J909" s="4">
        <v>1</v>
      </c>
      <c r="K909" s="4">
        <v>0</v>
      </c>
      <c r="L909" s="4">
        <v>15.442</v>
      </c>
      <c r="M909" s="4">
        <v>0</v>
      </c>
      <c r="N909" s="5">
        <v>397734</v>
      </c>
      <c r="O909" s="5">
        <v>0</v>
      </c>
      <c r="P909" s="5">
        <v>80995</v>
      </c>
      <c r="Q909" s="5">
        <v>0</v>
      </c>
      <c r="R909" s="5">
        <v>95686</v>
      </c>
      <c r="S909" s="5">
        <v>0</v>
      </c>
      <c r="T909" s="5">
        <f t="shared" si="103"/>
        <v>574415</v>
      </c>
      <c r="U909" s="5">
        <v>330680</v>
      </c>
      <c r="V909" s="5">
        <v>0</v>
      </c>
      <c r="W909" s="5">
        <v>9232</v>
      </c>
      <c r="X909" s="5">
        <v>0</v>
      </c>
      <c r="Y909" s="5">
        <v>914327</v>
      </c>
      <c r="Z909" s="5">
        <f t="shared" si="104"/>
        <v>914327</v>
      </c>
      <c r="AA909" s="20">
        <f t="shared" si="102"/>
        <v>0</v>
      </c>
    </row>
    <row r="910" spans="1:27" ht="12.75">
      <c r="A910" s="3" t="s">
        <v>1584</v>
      </c>
      <c r="B910" s="3" t="s">
        <v>898</v>
      </c>
      <c r="C910" s="3" t="s">
        <v>932</v>
      </c>
      <c r="D910" s="3" t="s">
        <v>1151</v>
      </c>
      <c r="E910" s="3" t="s">
        <v>1116</v>
      </c>
      <c r="F910" s="3" t="s">
        <v>1153</v>
      </c>
      <c r="G910" s="3" t="s">
        <v>1591</v>
      </c>
      <c r="H910" s="3" t="s">
        <v>1592</v>
      </c>
      <c r="I910" s="3" t="s">
        <v>1152</v>
      </c>
      <c r="J910" s="4">
        <v>0</v>
      </c>
      <c r="K910" s="4">
        <v>0</v>
      </c>
      <c r="L910" s="4">
        <v>2</v>
      </c>
      <c r="M910" s="4">
        <v>0</v>
      </c>
      <c r="N910" s="5">
        <v>41736</v>
      </c>
      <c r="O910" s="5">
        <v>0</v>
      </c>
      <c r="P910" s="5">
        <v>23339</v>
      </c>
      <c r="Q910" s="5">
        <v>0</v>
      </c>
      <c r="R910" s="5">
        <v>12890</v>
      </c>
      <c r="S910" s="5">
        <v>0</v>
      </c>
      <c r="T910" s="5">
        <f t="shared" si="103"/>
        <v>77965</v>
      </c>
      <c r="U910" s="5">
        <v>424225</v>
      </c>
      <c r="V910" s="5">
        <v>0</v>
      </c>
      <c r="W910" s="5">
        <v>0</v>
      </c>
      <c r="X910" s="5">
        <v>0</v>
      </c>
      <c r="Y910" s="5">
        <v>502190</v>
      </c>
      <c r="Z910" s="5">
        <f t="shared" si="104"/>
        <v>502190</v>
      </c>
      <c r="AA910" s="20">
        <f t="shared" si="102"/>
        <v>0</v>
      </c>
    </row>
    <row r="911" spans="1:27" ht="12.75">
      <c r="A911" s="3" t="s">
        <v>1584</v>
      </c>
      <c r="B911" s="3" t="s">
        <v>898</v>
      </c>
      <c r="C911" s="3" t="s">
        <v>932</v>
      </c>
      <c r="D911" s="3" t="s">
        <v>1154</v>
      </c>
      <c r="E911" s="3" t="s">
        <v>1116</v>
      </c>
      <c r="F911" s="3" t="s">
        <v>1156</v>
      </c>
      <c r="G911" s="3" t="s">
        <v>1591</v>
      </c>
      <c r="H911" s="3" t="s">
        <v>1592</v>
      </c>
      <c r="I911" s="3" t="s">
        <v>1155</v>
      </c>
      <c r="J911" s="4">
        <v>0</v>
      </c>
      <c r="K911" s="4">
        <v>0</v>
      </c>
      <c r="L911" s="4">
        <v>0</v>
      </c>
      <c r="M911" s="4">
        <v>0</v>
      </c>
      <c r="N911" s="5">
        <v>0</v>
      </c>
      <c r="O911" s="5">
        <v>0</v>
      </c>
      <c r="P911" s="5">
        <v>0</v>
      </c>
      <c r="Q911" s="5">
        <v>0</v>
      </c>
      <c r="R911" s="5">
        <v>0</v>
      </c>
      <c r="S911" s="5">
        <v>0</v>
      </c>
      <c r="T911" s="5">
        <f t="shared" si="103"/>
        <v>0</v>
      </c>
      <c r="U911" s="5">
        <v>51665</v>
      </c>
      <c r="V911" s="5">
        <v>0</v>
      </c>
      <c r="W911" s="5">
        <v>0</v>
      </c>
      <c r="X911" s="5">
        <v>0</v>
      </c>
      <c r="Y911" s="5">
        <v>51665</v>
      </c>
      <c r="Z911" s="5">
        <f t="shared" si="104"/>
        <v>51665</v>
      </c>
      <c r="AA911" s="20">
        <f t="shared" si="102"/>
        <v>0</v>
      </c>
    </row>
    <row r="912" spans="1:27" ht="12.75">
      <c r="A912" s="3" t="s">
        <v>1968</v>
      </c>
      <c r="B912" s="3" t="s">
        <v>898</v>
      </c>
      <c r="C912" s="3" t="s">
        <v>932</v>
      </c>
      <c r="D912" s="3" t="s">
        <v>1157</v>
      </c>
      <c r="E912" s="3" t="s">
        <v>3191</v>
      </c>
      <c r="F912" s="3" t="s">
        <v>1159</v>
      </c>
      <c r="G912" s="3" t="s">
        <v>1591</v>
      </c>
      <c r="H912" s="3" t="s">
        <v>1592</v>
      </c>
      <c r="I912" s="3" t="s">
        <v>1158</v>
      </c>
      <c r="J912" s="4">
        <v>0</v>
      </c>
      <c r="K912" s="4">
        <v>0</v>
      </c>
      <c r="L912" s="4">
        <v>0</v>
      </c>
      <c r="M912" s="4">
        <v>0</v>
      </c>
      <c r="N912" s="5">
        <v>0</v>
      </c>
      <c r="O912" s="5">
        <v>0</v>
      </c>
      <c r="P912" s="5">
        <v>0</v>
      </c>
      <c r="Q912" s="5">
        <v>0</v>
      </c>
      <c r="R912" s="5">
        <v>323</v>
      </c>
      <c r="S912" s="5">
        <v>0</v>
      </c>
      <c r="T912" s="5">
        <f t="shared" si="103"/>
        <v>323</v>
      </c>
      <c r="U912" s="5">
        <f>SUM(S912:S912)</f>
        <v>0</v>
      </c>
      <c r="V912" s="5">
        <v>0</v>
      </c>
      <c r="W912" s="5">
        <v>0</v>
      </c>
      <c r="X912" s="5">
        <v>0</v>
      </c>
      <c r="Y912" s="5">
        <v>323</v>
      </c>
      <c r="Z912" s="5">
        <f t="shared" si="104"/>
        <v>323</v>
      </c>
      <c r="AA912" s="20">
        <f t="shared" si="102"/>
        <v>0</v>
      </c>
    </row>
    <row r="913" spans="1:27" ht="12.75">
      <c r="A913" s="3" t="s">
        <v>1751</v>
      </c>
      <c r="B913" s="3" t="s">
        <v>898</v>
      </c>
      <c r="C913" s="3" t="s">
        <v>932</v>
      </c>
      <c r="D913" s="3" t="s">
        <v>1160</v>
      </c>
      <c r="E913" s="3" t="s">
        <v>3191</v>
      </c>
      <c r="F913" s="3" t="s">
        <v>1162</v>
      </c>
      <c r="G913" s="3" t="s">
        <v>1591</v>
      </c>
      <c r="H913" s="3" t="s">
        <v>1592</v>
      </c>
      <c r="I913" s="3" t="s">
        <v>1161</v>
      </c>
      <c r="J913" s="4">
        <v>0</v>
      </c>
      <c r="K913" s="4">
        <v>0</v>
      </c>
      <c r="L913" s="4">
        <v>1</v>
      </c>
      <c r="M913" s="4">
        <v>0</v>
      </c>
      <c r="N913" s="5">
        <v>23604</v>
      </c>
      <c r="O913" s="5">
        <v>0</v>
      </c>
      <c r="P913" s="5">
        <v>0</v>
      </c>
      <c r="Q913" s="5">
        <v>0</v>
      </c>
      <c r="R913" s="5">
        <v>0</v>
      </c>
      <c r="S913" s="5">
        <v>0</v>
      </c>
      <c r="T913" s="5">
        <f t="shared" si="103"/>
        <v>23604</v>
      </c>
      <c r="U913" s="5">
        <f>SUM(S913:S913)</f>
        <v>0</v>
      </c>
      <c r="V913" s="5">
        <v>0</v>
      </c>
      <c r="W913" s="5">
        <v>0</v>
      </c>
      <c r="X913" s="5">
        <v>0</v>
      </c>
      <c r="Y913" s="5">
        <v>23604</v>
      </c>
      <c r="Z913" s="5">
        <f t="shared" si="104"/>
        <v>23604</v>
      </c>
      <c r="AA913" s="20">
        <f t="shared" si="102"/>
        <v>0</v>
      </c>
    </row>
    <row r="914" spans="1:27" ht="12.75">
      <c r="A914" s="3" t="s">
        <v>1871</v>
      </c>
      <c r="B914" s="3" t="s">
        <v>898</v>
      </c>
      <c r="C914" s="3" t="s">
        <v>932</v>
      </c>
      <c r="D914" s="3" t="s">
        <v>1163</v>
      </c>
      <c r="E914" s="3" t="s">
        <v>3191</v>
      </c>
      <c r="F914" s="3" t="s">
        <v>1165</v>
      </c>
      <c r="G914" s="3" t="s">
        <v>1591</v>
      </c>
      <c r="H914" s="3" t="s">
        <v>1592</v>
      </c>
      <c r="I914" s="3" t="s">
        <v>1164</v>
      </c>
      <c r="J914" s="4">
        <v>0</v>
      </c>
      <c r="K914" s="4">
        <v>0</v>
      </c>
      <c r="L914" s="4">
        <v>0</v>
      </c>
      <c r="M914" s="4">
        <v>0</v>
      </c>
      <c r="N914" s="5">
        <v>0</v>
      </c>
      <c r="O914" s="5">
        <v>0</v>
      </c>
      <c r="P914" s="5">
        <v>20000</v>
      </c>
      <c r="Q914" s="5">
        <v>0</v>
      </c>
      <c r="R914" s="5">
        <v>6300</v>
      </c>
      <c r="S914" s="5">
        <v>15000</v>
      </c>
      <c r="T914" s="5">
        <f t="shared" si="103"/>
        <v>26300</v>
      </c>
      <c r="U914" s="5">
        <f>15000+60000</f>
        <v>75000</v>
      </c>
      <c r="V914" s="5">
        <v>1000</v>
      </c>
      <c r="W914" s="5">
        <v>0</v>
      </c>
      <c r="X914" s="5">
        <v>11000</v>
      </c>
      <c r="Y914" s="5">
        <v>113300</v>
      </c>
      <c r="Z914" s="5">
        <f t="shared" si="104"/>
        <v>113300</v>
      </c>
      <c r="AA914" s="20">
        <f t="shared" si="102"/>
        <v>0</v>
      </c>
    </row>
    <row r="915" spans="1:27" ht="12.75">
      <c r="A915" s="3" t="s">
        <v>2912</v>
      </c>
      <c r="B915" s="3" t="s">
        <v>898</v>
      </c>
      <c r="C915" s="3" t="s">
        <v>932</v>
      </c>
      <c r="D915" s="3" t="s">
        <v>1166</v>
      </c>
      <c r="E915" s="3" t="s">
        <v>1168</v>
      </c>
      <c r="F915" s="3" t="s">
        <v>1169</v>
      </c>
      <c r="G915" s="3" t="s">
        <v>1591</v>
      </c>
      <c r="H915" s="3" t="s">
        <v>1592</v>
      </c>
      <c r="I915" s="3" t="s">
        <v>1167</v>
      </c>
      <c r="J915" s="4">
        <v>0</v>
      </c>
      <c r="K915" s="4">
        <v>0</v>
      </c>
      <c r="L915" s="4">
        <v>2</v>
      </c>
      <c r="M915" s="4">
        <v>0</v>
      </c>
      <c r="N915" s="5">
        <v>56316</v>
      </c>
      <c r="O915" s="5">
        <v>0</v>
      </c>
      <c r="P915" s="5">
        <v>7500</v>
      </c>
      <c r="Q915" s="5">
        <v>0</v>
      </c>
      <c r="R915" s="5">
        <v>6913</v>
      </c>
      <c r="S915" s="5">
        <v>2000</v>
      </c>
      <c r="T915" s="5">
        <f t="shared" si="103"/>
        <v>70729</v>
      </c>
      <c r="U915" s="5">
        <f>2000+25300</f>
        <v>27300</v>
      </c>
      <c r="V915" s="5">
        <v>0</v>
      </c>
      <c r="W915" s="5">
        <v>35000</v>
      </c>
      <c r="X915" s="5">
        <v>0</v>
      </c>
      <c r="Y915" s="5">
        <v>133029</v>
      </c>
      <c r="Z915" s="5">
        <f t="shared" si="104"/>
        <v>133029</v>
      </c>
      <c r="AA915" s="20">
        <f>+Y915-Z915</f>
        <v>0</v>
      </c>
    </row>
    <row r="916" spans="1:27" ht="12.75">
      <c r="A916" s="3" t="s">
        <v>2595</v>
      </c>
      <c r="B916" s="3" t="s">
        <v>898</v>
      </c>
      <c r="C916" s="3" t="s">
        <v>932</v>
      </c>
      <c r="D916" s="3" t="s">
        <v>1170</v>
      </c>
      <c r="E916" s="3" t="s">
        <v>948</v>
      </c>
      <c r="F916" s="3" t="s">
        <v>1172</v>
      </c>
      <c r="G916" s="3" t="s">
        <v>1591</v>
      </c>
      <c r="H916" s="3" t="s">
        <v>1592</v>
      </c>
      <c r="I916" s="3" t="s">
        <v>1171</v>
      </c>
      <c r="J916" s="4">
        <v>0</v>
      </c>
      <c r="K916" s="4">
        <v>0</v>
      </c>
      <c r="L916" s="4">
        <v>0</v>
      </c>
      <c r="M916" s="4">
        <v>0</v>
      </c>
      <c r="N916" s="5">
        <v>0</v>
      </c>
      <c r="O916" s="5">
        <v>0</v>
      </c>
      <c r="P916" s="5">
        <v>0</v>
      </c>
      <c r="Q916" s="5">
        <v>0</v>
      </c>
      <c r="R916" s="5">
        <v>0</v>
      </c>
      <c r="S916" s="5">
        <v>0</v>
      </c>
      <c r="T916" s="5">
        <f t="shared" si="103"/>
        <v>0</v>
      </c>
      <c r="U916" s="5">
        <v>285000</v>
      </c>
      <c r="V916" s="5">
        <v>0</v>
      </c>
      <c r="W916" s="5">
        <v>0</v>
      </c>
      <c r="X916" s="5">
        <v>0</v>
      </c>
      <c r="Y916" s="5">
        <v>285000</v>
      </c>
      <c r="Z916" s="5">
        <f t="shared" si="104"/>
        <v>285000</v>
      </c>
      <c r="AA916" s="20">
        <f aca="true" t="shared" si="106" ref="AA916:AA979">+Y916-Z916</f>
        <v>0</v>
      </c>
    </row>
    <row r="917" spans="1:27" ht="12.75">
      <c r="A917" s="3" t="s">
        <v>2912</v>
      </c>
      <c r="B917" s="3" t="s">
        <v>898</v>
      </c>
      <c r="C917" s="3" t="s">
        <v>932</v>
      </c>
      <c r="D917" s="3" t="s">
        <v>1173</v>
      </c>
      <c r="E917" s="3" t="s">
        <v>1175</v>
      </c>
      <c r="F917" s="3" t="s">
        <v>1176</v>
      </c>
      <c r="G917" s="3" t="s">
        <v>1591</v>
      </c>
      <c r="H917" s="3" t="s">
        <v>1592</v>
      </c>
      <c r="I917" s="3" t="s">
        <v>1174</v>
      </c>
      <c r="J917" s="4">
        <v>0</v>
      </c>
      <c r="K917" s="4">
        <v>0</v>
      </c>
      <c r="L917" s="4">
        <v>5</v>
      </c>
      <c r="M917" s="4">
        <v>0</v>
      </c>
      <c r="N917" s="5">
        <v>102756</v>
      </c>
      <c r="O917" s="5">
        <v>0</v>
      </c>
      <c r="P917" s="5">
        <v>53339</v>
      </c>
      <c r="Q917" s="5">
        <v>0</v>
      </c>
      <c r="R917" s="5">
        <v>30435</v>
      </c>
      <c r="S917" s="5">
        <v>0</v>
      </c>
      <c r="T917" s="5">
        <f t="shared" si="103"/>
        <v>186530</v>
      </c>
      <c r="U917" s="5">
        <v>52165</v>
      </c>
      <c r="V917" s="5">
        <v>0</v>
      </c>
      <c r="W917" s="5">
        <v>112361</v>
      </c>
      <c r="X917" s="5">
        <v>0</v>
      </c>
      <c r="Y917" s="5">
        <v>351056</v>
      </c>
      <c r="Z917" s="5">
        <f t="shared" si="104"/>
        <v>351056</v>
      </c>
      <c r="AA917" s="20">
        <f t="shared" si="106"/>
        <v>0</v>
      </c>
    </row>
    <row r="918" spans="1:27" ht="12.75">
      <c r="A918" s="3" t="s">
        <v>1699</v>
      </c>
      <c r="B918" s="3" t="s">
        <v>898</v>
      </c>
      <c r="C918" s="3" t="s">
        <v>932</v>
      </c>
      <c r="D918" s="3" t="s">
        <v>1177</v>
      </c>
      <c r="E918" s="3" t="s">
        <v>1179</v>
      </c>
      <c r="F918" s="3" t="s">
        <v>1180</v>
      </c>
      <c r="G918" s="3" t="s">
        <v>1591</v>
      </c>
      <c r="H918" s="3" t="s">
        <v>1592</v>
      </c>
      <c r="I918" s="3" t="s">
        <v>1178</v>
      </c>
      <c r="J918" s="4">
        <v>0</v>
      </c>
      <c r="K918" s="4">
        <v>0</v>
      </c>
      <c r="L918" s="4">
        <v>0</v>
      </c>
      <c r="M918" s="4">
        <v>0.135</v>
      </c>
      <c r="N918" s="5">
        <v>4056</v>
      </c>
      <c r="O918" s="5">
        <v>0</v>
      </c>
      <c r="P918" s="5">
        <v>45000</v>
      </c>
      <c r="Q918" s="5">
        <v>0</v>
      </c>
      <c r="R918" s="5">
        <v>9000</v>
      </c>
      <c r="S918" s="5">
        <v>0</v>
      </c>
      <c r="T918" s="5">
        <f aca="true" t="shared" si="107" ref="T918:T981">SUM(N918:R918)</f>
        <v>58056</v>
      </c>
      <c r="U918" s="5">
        <v>9250</v>
      </c>
      <c r="V918" s="5">
        <v>0</v>
      </c>
      <c r="W918" s="5">
        <v>0</v>
      </c>
      <c r="X918" s="5">
        <v>200</v>
      </c>
      <c r="Y918" s="5">
        <v>67506</v>
      </c>
      <c r="Z918" s="5">
        <f aca="true" t="shared" si="108" ref="Z918:Z981">SUM(T918:X918)</f>
        <v>67506</v>
      </c>
      <c r="AA918" s="20">
        <f t="shared" si="106"/>
        <v>0</v>
      </c>
    </row>
    <row r="919" spans="1:27" ht="12.75">
      <c r="A919" s="3" t="s">
        <v>1871</v>
      </c>
      <c r="B919" s="3" t="s">
        <v>898</v>
      </c>
      <c r="C919" s="3" t="s">
        <v>932</v>
      </c>
      <c r="D919" s="3" t="s">
        <v>1181</v>
      </c>
      <c r="E919" s="3" t="s">
        <v>3191</v>
      </c>
      <c r="F919" s="3" t="s">
        <v>1183</v>
      </c>
      <c r="G919" s="3" t="s">
        <v>1591</v>
      </c>
      <c r="H919" s="3" t="s">
        <v>1592</v>
      </c>
      <c r="I919" s="3" t="s">
        <v>1182</v>
      </c>
      <c r="J919" s="4">
        <v>0</v>
      </c>
      <c r="K919" s="4">
        <v>0</v>
      </c>
      <c r="L919" s="4">
        <v>0</v>
      </c>
      <c r="M919" s="4">
        <v>0</v>
      </c>
      <c r="N919" s="5">
        <v>0</v>
      </c>
      <c r="O919" s="5">
        <v>0</v>
      </c>
      <c r="P919" s="5">
        <v>0</v>
      </c>
      <c r="Q919" s="5">
        <v>0</v>
      </c>
      <c r="R919" s="5">
        <v>0</v>
      </c>
      <c r="S919" s="5">
        <v>0</v>
      </c>
      <c r="T919" s="5">
        <f t="shared" si="107"/>
        <v>0</v>
      </c>
      <c r="U919" s="5">
        <v>3000</v>
      </c>
      <c r="V919" s="5">
        <v>0</v>
      </c>
      <c r="W919" s="5">
        <v>0</v>
      </c>
      <c r="X919" s="5">
        <v>1000</v>
      </c>
      <c r="Y919" s="5">
        <v>4000</v>
      </c>
      <c r="Z919" s="5">
        <f t="shared" si="108"/>
        <v>4000</v>
      </c>
      <c r="AA919" s="20">
        <f t="shared" si="106"/>
        <v>0</v>
      </c>
    </row>
    <row r="920" spans="1:27" ht="12.75">
      <c r="A920" s="3" t="s">
        <v>1936</v>
      </c>
      <c r="B920" s="3" t="s">
        <v>898</v>
      </c>
      <c r="C920" s="3" t="s">
        <v>932</v>
      </c>
      <c r="D920" s="3" t="s">
        <v>1184</v>
      </c>
      <c r="E920" s="3" t="s">
        <v>3191</v>
      </c>
      <c r="F920" s="3" t="s">
        <v>1186</v>
      </c>
      <c r="G920" s="3" t="s">
        <v>1591</v>
      </c>
      <c r="H920" s="3" t="s">
        <v>1592</v>
      </c>
      <c r="I920" s="3" t="s">
        <v>653</v>
      </c>
      <c r="J920" s="4">
        <v>0</v>
      </c>
      <c r="K920" s="4">
        <v>0</v>
      </c>
      <c r="L920" s="4">
        <v>0</v>
      </c>
      <c r="M920" s="4">
        <v>0</v>
      </c>
      <c r="N920" s="5">
        <v>0</v>
      </c>
      <c r="O920" s="5">
        <v>0</v>
      </c>
      <c r="P920" s="5">
        <v>0</v>
      </c>
      <c r="Q920" s="5">
        <v>0</v>
      </c>
      <c r="R920" s="5">
        <v>0</v>
      </c>
      <c r="S920" s="5">
        <v>2300</v>
      </c>
      <c r="T920" s="5">
        <f t="shared" si="107"/>
        <v>0</v>
      </c>
      <c r="U920" s="5">
        <f>2300+2000</f>
        <v>4300</v>
      </c>
      <c r="V920" s="5">
        <v>0</v>
      </c>
      <c r="W920" s="5">
        <v>0</v>
      </c>
      <c r="X920" s="5">
        <v>1000</v>
      </c>
      <c r="Y920" s="5">
        <v>5300</v>
      </c>
      <c r="Z920" s="5">
        <f t="shared" si="108"/>
        <v>5300</v>
      </c>
      <c r="AA920" s="20">
        <f t="shared" si="106"/>
        <v>0</v>
      </c>
    </row>
    <row r="921" spans="1:27" ht="12.75">
      <c r="A921" s="3" t="s">
        <v>1584</v>
      </c>
      <c r="B921" s="3" t="s">
        <v>898</v>
      </c>
      <c r="C921" s="3" t="s">
        <v>932</v>
      </c>
      <c r="D921" s="3" t="s">
        <v>1187</v>
      </c>
      <c r="E921" s="3" t="s">
        <v>1189</v>
      </c>
      <c r="F921" s="3" t="s">
        <v>1190</v>
      </c>
      <c r="G921" s="3" t="s">
        <v>1591</v>
      </c>
      <c r="H921" s="3" t="s">
        <v>1592</v>
      </c>
      <c r="I921" s="3" t="s">
        <v>1188</v>
      </c>
      <c r="J921" s="4">
        <v>0</v>
      </c>
      <c r="K921" s="4">
        <v>0</v>
      </c>
      <c r="L921" s="4">
        <v>1</v>
      </c>
      <c r="M921" s="4">
        <v>0</v>
      </c>
      <c r="N921" s="5">
        <v>45360</v>
      </c>
      <c r="O921" s="5">
        <v>0</v>
      </c>
      <c r="P921" s="5">
        <v>44622</v>
      </c>
      <c r="Q921" s="5">
        <v>0</v>
      </c>
      <c r="R921" s="5">
        <v>11342</v>
      </c>
      <c r="S921" s="5">
        <v>0</v>
      </c>
      <c r="T921" s="5">
        <f t="shared" si="107"/>
        <v>101324</v>
      </c>
      <c r="U921" s="5">
        <v>225746</v>
      </c>
      <c r="V921" s="5">
        <v>0</v>
      </c>
      <c r="W921" s="5">
        <v>127</v>
      </c>
      <c r="X921" s="5">
        <v>689</v>
      </c>
      <c r="Y921" s="5">
        <v>327886</v>
      </c>
      <c r="Z921" s="5">
        <f t="shared" si="108"/>
        <v>327886</v>
      </c>
      <c r="AA921" s="20">
        <f t="shared" si="106"/>
        <v>0</v>
      </c>
    </row>
    <row r="922" spans="1:27" ht="12.75">
      <c r="A922" s="3" t="s">
        <v>1584</v>
      </c>
      <c r="B922" s="3" t="s">
        <v>898</v>
      </c>
      <c r="C922" s="3" t="s">
        <v>932</v>
      </c>
      <c r="D922" s="3" t="s">
        <v>1191</v>
      </c>
      <c r="E922" s="3" t="s">
        <v>1116</v>
      </c>
      <c r="F922" s="3" t="s">
        <v>1193</v>
      </c>
      <c r="G922" s="3" t="s">
        <v>1591</v>
      </c>
      <c r="H922" s="3" t="s">
        <v>1592</v>
      </c>
      <c r="I922" s="3" t="s">
        <v>1192</v>
      </c>
      <c r="J922" s="4">
        <v>2</v>
      </c>
      <c r="K922" s="4">
        <v>0</v>
      </c>
      <c r="L922" s="4">
        <v>7</v>
      </c>
      <c r="M922" s="4">
        <v>0</v>
      </c>
      <c r="N922" s="5">
        <v>302676</v>
      </c>
      <c r="O922" s="5">
        <v>0</v>
      </c>
      <c r="P922" s="5">
        <v>9150</v>
      </c>
      <c r="Q922" s="5">
        <v>0</v>
      </c>
      <c r="R922" s="5">
        <v>110460</v>
      </c>
      <c r="S922" s="5">
        <v>0</v>
      </c>
      <c r="T922" s="5">
        <f t="shared" si="107"/>
        <v>422286</v>
      </c>
      <c r="U922" s="5">
        <v>147920</v>
      </c>
      <c r="V922" s="5">
        <v>0</v>
      </c>
      <c r="W922" s="5">
        <v>0</v>
      </c>
      <c r="X922" s="5">
        <v>0</v>
      </c>
      <c r="Y922" s="5">
        <v>570206</v>
      </c>
      <c r="Z922" s="5">
        <f t="shared" si="108"/>
        <v>570206</v>
      </c>
      <c r="AA922" s="20">
        <f t="shared" si="106"/>
        <v>0</v>
      </c>
    </row>
    <row r="923" spans="1:27" ht="12.75">
      <c r="A923" s="3" t="s">
        <v>2912</v>
      </c>
      <c r="B923" s="3" t="s">
        <v>898</v>
      </c>
      <c r="C923" s="3" t="s">
        <v>932</v>
      </c>
      <c r="D923" s="3" t="s">
        <v>1194</v>
      </c>
      <c r="E923" s="3" t="s">
        <v>1123</v>
      </c>
      <c r="F923" s="3" t="s">
        <v>1196</v>
      </c>
      <c r="G923" s="3" t="s">
        <v>1591</v>
      </c>
      <c r="H923" s="3" t="s">
        <v>1592</v>
      </c>
      <c r="I923" s="3" t="s">
        <v>1195</v>
      </c>
      <c r="J923" s="4">
        <v>0</v>
      </c>
      <c r="K923" s="4">
        <v>0</v>
      </c>
      <c r="L923" s="4">
        <v>0</v>
      </c>
      <c r="M923" s="4">
        <v>0</v>
      </c>
      <c r="N923" s="5">
        <v>0</v>
      </c>
      <c r="O923" s="5">
        <v>0</v>
      </c>
      <c r="P923" s="5">
        <v>0</v>
      </c>
      <c r="Q923" s="5">
        <v>0</v>
      </c>
      <c r="R923" s="5">
        <v>0</v>
      </c>
      <c r="S923" s="5">
        <v>0</v>
      </c>
      <c r="T923" s="5">
        <f t="shared" si="107"/>
        <v>0</v>
      </c>
      <c r="U923" s="5">
        <v>2240</v>
      </c>
      <c r="V923" s="5">
        <v>0</v>
      </c>
      <c r="W923" s="5">
        <v>4650</v>
      </c>
      <c r="X923" s="5">
        <v>0</v>
      </c>
      <c r="Y923" s="5">
        <v>6890</v>
      </c>
      <c r="Z923" s="5">
        <f t="shared" si="108"/>
        <v>6890</v>
      </c>
      <c r="AA923" s="20">
        <f t="shared" si="106"/>
        <v>0</v>
      </c>
    </row>
    <row r="924" spans="1:27" ht="12.75">
      <c r="A924" s="3" t="s">
        <v>1699</v>
      </c>
      <c r="B924" s="3" t="s">
        <v>898</v>
      </c>
      <c r="C924" s="3" t="s">
        <v>932</v>
      </c>
      <c r="D924" s="3" t="s">
        <v>1197</v>
      </c>
      <c r="E924" s="3" t="s">
        <v>3191</v>
      </c>
      <c r="F924" s="3" t="s">
        <v>1199</v>
      </c>
      <c r="G924" s="3" t="s">
        <v>1591</v>
      </c>
      <c r="H924" s="3" t="s">
        <v>1592</v>
      </c>
      <c r="I924" s="3" t="s">
        <v>1198</v>
      </c>
      <c r="J924" s="4">
        <v>0</v>
      </c>
      <c r="K924" s="4">
        <v>0</v>
      </c>
      <c r="L924" s="4">
        <v>0</v>
      </c>
      <c r="M924" s="4">
        <v>0</v>
      </c>
      <c r="N924" s="5">
        <v>0</v>
      </c>
      <c r="O924" s="5">
        <v>0</v>
      </c>
      <c r="P924" s="5">
        <v>23000</v>
      </c>
      <c r="Q924" s="5">
        <v>5000</v>
      </c>
      <c r="R924" s="5">
        <v>380</v>
      </c>
      <c r="S924" s="5">
        <v>100000</v>
      </c>
      <c r="T924" s="5">
        <f t="shared" si="107"/>
        <v>28380</v>
      </c>
      <c r="U924" s="5">
        <f>100000+125075</f>
        <v>225075</v>
      </c>
      <c r="V924" s="5">
        <v>0</v>
      </c>
      <c r="W924" s="5">
        <v>0</v>
      </c>
      <c r="X924" s="5">
        <v>1500</v>
      </c>
      <c r="Y924" s="5">
        <v>254955</v>
      </c>
      <c r="Z924" s="5">
        <f t="shared" si="108"/>
        <v>254955</v>
      </c>
      <c r="AA924" s="20">
        <f t="shared" si="106"/>
        <v>0</v>
      </c>
    </row>
    <row r="925" spans="1:27" ht="12.75">
      <c r="A925" s="3" t="s">
        <v>1964</v>
      </c>
      <c r="B925" s="3" t="s">
        <v>898</v>
      </c>
      <c r="C925" s="3" t="s">
        <v>932</v>
      </c>
      <c r="D925" s="3" t="s">
        <v>1200</v>
      </c>
      <c r="E925" s="3" t="s">
        <v>3191</v>
      </c>
      <c r="F925" s="3" t="s">
        <v>1202</v>
      </c>
      <c r="G925" s="3" t="s">
        <v>1591</v>
      </c>
      <c r="H925" s="3" t="s">
        <v>1592</v>
      </c>
      <c r="I925" s="3" t="s">
        <v>1201</v>
      </c>
      <c r="J925" s="4">
        <v>0</v>
      </c>
      <c r="K925" s="4">
        <v>0</v>
      </c>
      <c r="L925" s="4">
        <v>0</v>
      </c>
      <c r="M925" s="4">
        <v>0</v>
      </c>
      <c r="N925" s="5">
        <v>0</v>
      </c>
      <c r="O925" s="5">
        <v>0</v>
      </c>
      <c r="P925" s="5">
        <v>0</v>
      </c>
      <c r="Q925" s="5">
        <v>0</v>
      </c>
      <c r="R925" s="5">
        <v>0</v>
      </c>
      <c r="S925" s="5">
        <v>1000</v>
      </c>
      <c r="T925" s="5">
        <f t="shared" si="107"/>
        <v>0</v>
      </c>
      <c r="U925" s="5">
        <f>1000+28500</f>
        <v>29500</v>
      </c>
      <c r="V925" s="5">
        <v>2000</v>
      </c>
      <c r="W925" s="5">
        <v>0</v>
      </c>
      <c r="X925" s="5">
        <v>300</v>
      </c>
      <c r="Y925" s="5">
        <v>31800</v>
      </c>
      <c r="Z925" s="5">
        <f t="shared" si="108"/>
        <v>31800</v>
      </c>
      <c r="AA925" s="20">
        <f t="shared" si="106"/>
        <v>0</v>
      </c>
    </row>
    <row r="926" spans="1:27" ht="12.75">
      <c r="A926" s="3" t="s">
        <v>1584</v>
      </c>
      <c r="B926" s="3" t="s">
        <v>898</v>
      </c>
      <c r="C926" s="3" t="s">
        <v>932</v>
      </c>
      <c r="D926" s="3" t="s">
        <v>1203</v>
      </c>
      <c r="E926" s="3" t="s">
        <v>3191</v>
      </c>
      <c r="F926" s="3" t="s">
        <v>1205</v>
      </c>
      <c r="G926" s="3" t="s">
        <v>1591</v>
      </c>
      <c r="H926" s="3" t="s">
        <v>1592</v>
      </c>
      <c r="I926" s="3" t="s">
        <v>1204</v>
      </c>
      <c r="J926" s="4">
        <v>0</v>
      </c>
      <c r="K926" s="4">
        <v>0</v>
      </c>
      <c r="L926" s="4">
        <v>0</v>
      </c>
      <c r="M926" s="4">
        <v>0</v>
      </c>
      <c r="N926" s="5">
        <v>0</v>
      </c>
      <c r="O926" s="5">
        <v>0</v>
      </c>
      <c r="P926" s="5">
        <v>6000</v>
      </c>
      <c r="Q926" s="5">
        <v>0</v>
      </c>
      <c r="R926" s="5">
        <v>0</v>
      </c>
      <c r="S926" s="5">
        <v>0</v>
      </c>
      <c r="T926" s="5">
        <f t="shared" si="107"/>
        <v>6000</v>
      </c>
      <c r="U926" s="5">
        <v>52000</v>
      </c>
      <c r="V926" s="5">
        <v>0</v>
      </c>
      <c r="W926" s="5">
        <v>4000</v>
      </c>
      <c r="X926" s="5">
        <v>0</v>
      </c>
      <c r="Y926" s="5">
        <v>62000</v>
      </c>
      <c r="Z926" s="5">
        <f t="shared" si="108"/>
        <v>62000</v>
      </c>
      <c r="AA926" s="20">
        <f t="shared" si="106"/>
        <v>0</v>
      </c>
    </row>
    <row r="927" spans="1:27" ht="12.75">
      <c r="A927" s="3" t="s">
        <v>1699</v>
      </c>
      <c r="B927" s="3" t="s">
        <v>898</v>
      </c>
      <c r="C927" s="3" t="s">
        <v>932</v>
      </c>
      <c r="D927" s="3" t="s">
        <v>1206</v>
      </c>
      <c r="E927" s="3" t="s">
        <v>3191</v>
      </c>
      <c r="F927" s="3" t="s">
        <v>1208</v>
      </c>
      <c r="G927" s="3" t="s">
        <v>1591</v>
      </c>
      <c r="H927" s="3" t="s">
        <v>1592</v>
      </c>
      <c r="I927" s="3" t="s">
        <v>1207</v>
      </c>
      <c r="J927" s="4">
        <v>0</v>
      </c>
      <c r="K927" s="4">
        <v>0</v>
      </c>
      <c r="L927" s="4">
        <v>1</v>
      </c>
      <c r="M927" s="4">
        <v>0</v>
      </c>
      <c r="N927" s="5">
        <v>18720</v>
      </c>
      <c r="O927" s="5">
        <v>0</v>
      </c>
      <c r="P927" s="5">
        <v>23000</v>
      </c>
      <c r="Q927" s="5">
        <v>0</v>
      </c>
      <c r="R927" s="5">
        <v>6020</v>
      </c>
      <c r="S927" s="5">
        <v>2500</v>
      </c>
      <c r="T927" s="5">
        <f t="shared" si="107"/>
        <v>47740</v>
      </c>
      <c r="U927" s="5">
        <f>2500+23000</f>
        <v>25500</v>
      </c>
      <c r="V927" s="5">
        <v>0</v>
      </c>
      <c r="W927" s="5">
        <v>0</v>
      </c>
      <c r="X927" s="5">
        <v>500</v>
      </c>
      <c r="Y927" s="5">
        <v>73740</v>
      </c>
      <c r="Z927" s="5">
        <f t="shared" si="108"/>
        <v>73740</v>
      </c>
      <c r="AA927" s="20">
        <f t="shared" si="106"/>
        <v>0</v>
      </c>
    </row>
    <row r="928" spans="1:27" ht="12.75">
      <c r="A928" s="3" t="s">
        <v>1871</v>
      </c>
      <c r="B928" s="3" t="s">
        <v>898</v>
      </c>
      <c r="C928" s="3" t="s">
        <v>932</v>
      </c>
      <c r="D928" s="3" t="s">
        <v>1209</v>
      </c>
      <c r="E928" s="3" t="s">
        <v>3191</v>
      </c>
      <c r="F928" s="3" t="s">
        <v>1211</v>
      </c>
      <c r="G928" s="3" t="s">
        <v>1591</v>
      </c>
      <c r="H928" s="3" t="s">
        <v>1592</v>
      </c>
      <c r="I928" s="3" t="s">
        <v>1210</v>
      </c>
      <c r="J928" s="4">
        <v>0</v>
      </c>
      <c r="K928" s="4">
        <v>0</v>
      </c>
      <c r="L928" s="4">
        <v>0</v>
      </c>
      <c r="M928" s="4">
        <v>0</v>
      </c>
      <c r="N928" s="5">
        <v>0</v>
      </c>
      <c r="O928" s="5">
        <v>0</v>
      </c>
      <c r="P928" s="5">
        <v>0</v>
      </c>
      <c r="Q928" s="5">
        <v>0</v>
      </c>
      <c r="R928" s="5">
        <v>3511</v>
      </c>
      <c r="S928" s="5">
        <v>0</v>
      </c>
      <c r="T928" s="5">
        <f t="shared" si="107"/>
        <v>3511</v>
      </c>
      <c r="U928" s="5">
        <v>121000</v>
      </c>
      <c r="V928" s="5">
        <v>0</v>
      </c>
      <c r="W928" s="5">
        <v>0</v>
      </c>
      <c r="X928" s="5">
        <v>0</v>
      </c>
      <c r="Y928" s="5">
        <v>124511</v>
      </c>
      <c r="Z928" s="5">
        <f t="shared" si="108"/>
        <v>124511</v>
      </c>
      <c r="AA928" s="20">
        <f t="shared" si="106"/>
        <v>0</v>
      </c>
    </row>
    <row r="929" spans="1:27" ht="12.75">
      <c r="A929" s="3" t="s">
        <v>1751</v>
      </c>
      <c r="B929" s="3" t="s">
        <v>898</v>
      </c>
      <c r="C929" s="3" t="s">
        <v>932</v>
      </c>
      <c r="D929" s="3" t="s">
        <v>1212</v>
      </c>
      <c r="E929" s="3" t="s">
        <v>3191</v>
      </c>
      <c r="F929" s="3" t="s">
        <v>1214</v>
      </c>
      <c r="G929" s="3" t="s">
        <v>1591</v>
      </c>
      <c r="H929" s="3" t="s">
        <v>1592</v>
      </c>
      <c r="I929" s="3" t="s">
        <v>1213</v>
      </c>
      <c r="J929" s="4">
        <v>0</v>
      </c>
      <c r="K929" s="4">
        <v>0</v>
      </c>
      <c r="L929" s="4">
        <v>0</v>
      </c>
      <c r="M929" s="4">
        <v>0</v>
      </c>
      <c r="N929" s="5">
        <v>0</v>
      </c>
      <c r="O929" s="5">
        <v>0</v>
      </c>
      <c r="P929" s="5">
        <v>0</v>
      </c>
      <c r="Q929" s="5">
        <v>0</v>
      </c>
      <c r="R929" s="5">
        <v>0</v>
      </c>
      <c r="S929" s="5">
        <v>0</v>
      </c>
      <c r="T929" s="5">
        <f t="shared" si="107"/>
        <v>0</v>
      </c>
      <c r="U929" s="5">
        <v>22000</v>
      </c>
      <c r="V929" s="5">
        <v>0</v>
      </c>
      <c r="W929" s="5">
        <v>0</v>
      </c>
      <c r="X929" s="5">
        <v>0</v>
      </c>
      <c r="Y929" s="5">
        <v>22000</v>
      </c>
      <c r="Z929" s="5">
        <f t="shared" si="108"/>
        <v>22000</v>
      </c>
      <c r="AA929" s="20">
        <f t="shared" si="106"/>
        <v>0</v>
      </c>
    </row>
    <row r="930" spans="1:27" ht="12.75">
      <c r="A930" s="3" t="s">
        <v>2912</v>
      </c>
      <c r="B930" s="3" t="s">
        <v>898</v>
      </c>
      <c r="C930" s="3" t="s">
        <v>932</v>
      </c>
      <c r="D930" s="3" t="s">
        <v>1215</v>
      </c>
      <c r="E930" s="3" t="s">
        <v>1217</v>
      </c>
      <c r="F930" s="3" t="s">
        <v>1218</v>
      </c>
      <c r="G930" s="3" t="s">
        <v>1591</v>
      </c>
      <c r="H930" s="3" t="s">
        <v>1592</v>
      </c>
      <c r="I930" s="3" t="s">
        <v>654</v>
      </c>
      <c r="J930" s="4">
        <v>1</v>
      </c>
      <c r="K930" s="4">
        <v>0</v>
      </c>
      <c r="L930" s="4">
        <v>5</v>
      </c>
      <c r="M930" s="4">
        <v>0</v>
      </c>
      <c r="N930" s="5">
        <v>226848</v>
      </c>
      <c r="O930" s="5">
        <v>0</v>
      </c>
      <c r="P930" s="5">
        <v>56369</v>
      </c>
      <c r="Q930" s="5">
        <v>0</v>
      </c>
      <c r="R930" s="5">
        <v>66551</v>
      </c>
      <c r="S930" s="5">
        <v>0</v>
      </c>
      <c r="T930" s="5">
        <f t="shared" si="107"/>
        <v>349768</v>
      </c>
      <c r="U930" s="5">
        <v>80360</v>
      </c>
      <c r="V930" s="5">
        <v>0</v>
      </c>
      <c r="W930" s="5">
        <v>2000</v>
      </c>
      <c r="X930" s="5">
        <v>21000</v>
      </c>
      <c r="Y930" s="5">
        <v>453128</v>
      </c>
      <c r="Z930" s="5">
        <f t="shared" si="108"/>
        <v>453128</v>
      </c>
      <c r="AA930" s="20">
        <f t="shared" si="106"/>
        <v>0</v>
      </c>
    </row>
    <row r="931" spans="1:27" ht="12.75">
      <c r="A931" s="3" t="s">
        <v>1584</v>
      </c>
      <c r="B931" s="3" t="s">
        <v>898</v>
      </c>
      <c r="C931" s="3" t="s">
        <v>932</v>
      </c>
      <c r="D931" s="3" t="s">
        <v>1219</v>
      </c>
      <c r="E931" s="3" t="s">
        <v>3191</v>
      </c>
      <c r="F931" s="3" t="s">
        <v>1221</v>
      </c>
      <c r="G931" s="3" t="s">
        <v>1591</v>
      </c>
      <c r="H931" s="3" t="s">
        <v>1592</v>
      </c>
      <c r="I931" s="3" t="s">
        <v>1220</v>
      </c>
      <c r="J931" s="4">
        <v>0</v>
      </c>
      <c r="K931" s="4">
        <v>0</v>
      </c>
      <c r="L931" s="4">
        <v>0</v>
      </c>
      <c r="M931" s="4">
        <v>0</v>
      </c>
      <c r="N931" s="5">
        <v>0</v>
      </c>
      <c r="O931" s="5">
        <v>0</v>
      </c>
      <c r="P931" s="5">
        <v>0</v>
      </c>
      <c r="Q931" s="5">
        <v>0</v>
      </c>
      <c r="R931" s="5">
        <v>0</v>
      </c>
      <c r="S931" s="5">
        <v>500</v>
      </c>
      <c r="T931" s="5">
        <f t="shared" si="107"/>
        <v>0</v>
      </c>
      <c r="U931" s="5">
        <f>500+3000</f>
        <v>3500</v>
      </c>
      <c r="V931" s="5">
        <v>0</v>
      </c>
      <c r="W931" s="5">
        <v>0</v>
      </c>
      <c r="X931" s="5">
        <v>0</v>
      </c>
      <c r="Y931" s="5">
        <v>3500</v>
      </c>
      <c r="Z931" s="5">
        <f t="shared" si="108"/>
        <v>3500</v>
      </c>
      <c r="AA931" s="20">
        <f t="shared" si="106"/>
        <v>0</v>
      </c>
    </row>
    <row r="932" spans="1:27" ht="12.75">
      <c r="A932" s="3" t="s">
        <v>1584</v>
      </c>
      <c r="B932" s="3" t="s">
        <v>898</v>
      </c>
      <c r="C932" s="3" t="s">
        <v>932</v>
      </c>
      <c r="D932" s="3" t="s">
        <v>1222</v>
      </c>
      <c r="E932" s="3" t="s">
        <v>3191</v>
      </c>
      <c r="F932" s="3" t="s">
        <v>1224</v>
      </c>
      <c r="G932" s="3" t="s">
        <v>1591</v>
      </c>
      <c r="H932" s="3" t="s">
        <v>1592</v>
      </c>
      <c r="I932" s="3" t="s">
        <v>1223</v>
      </c>
      <c r="J932" s="4">
        <v>0</v>
      </c>
      <c r="K932" s="4">
        <v>0</v>
      </c>
      <c r="L932" s="4">
        <v>1</v>
      </c>
      <c r="M932" s="4">
        <v>0</v>
      </c>
      <c r="N932" s="5">
        <v>18636</v>
      </c>
      <c r="O932" s="5">
        <v>0</v>
      </c>
      <c r="P932" s="5">
        <v>18000</v>
      </c>
      <c r="Q932" s="5">
        <v>0</v>
      </c>
      <c r="R932" s="5">
        <v>5580</v>
      </c>
      <c r="S932" s="5">
        <v>0</v>
      </c>
      <c r="T932" s="5">
        <f t="shared" si="107"/>
        <v>42216</v>
      </c>
      <c r="U932" s="5">
        <v>36500</v>
      </c>
      <c r="V932" s="5">
        <v>0</v>
      </c>
      <c r="W932" s="5">
        <v>0</v>
      </c>
      <c r="X932" s="5">
        <v>100</v>
      </c>
      <c r="Y932" s="5">
        <v>78816</v>
      </c>
      <c r="Z932" s="5">
        <f t="shared" si="108"/>
        <v>78816</v>
      </c>
      <c r="AA932" s="20">
        <f t="shared" si="106"/>
        <v>0</v>
      </c>
    </row>
    <row r="933" spans="1:27" ht="12.75">
      <c r="A933" s="3" t="s">
        <v>1699</v>
      </c>
      <c r="B933" s="3" t="s">
        <v>898</v>
      </c>
      <c r="C933" s="3" t="s">
        <v>932</v>
      </c>
      <c r="D933" s="3" t="s">
        <v>1225</v>
      </c>
      <c r="E933" s="3" t="s">
        <v>3191</v>
      </c>
      <c r="F933" s="3" t="s">
        <v>1227</v>
      </c>
      <c r="G933" s="3" t="s">
        <v>1591</v>
      </c>
      <c r="H933" s="3" t="s">
        <v>1592</v>
      </c>
      <c r="I933" s="3" t="s">
        <v>1226</v>
      </c>
      <c r="J933" s="4">
        <v>0</v>
      </c>
      <c r="K933" s="4">
        <v>0</v>
      </c>
      <c r="L933" s="4">
        <v>0</v>
      </c>
      <c r="M933" s="4">
        <v>0</v>
      </c>
      <c r="N933" s="5">
        <v>0</v>
      </c>
      <c r="O933" s="5">
        <v>0</v>
      </c>
      <c r="P933" s="5">
        <v>2500</v>
      </c>
      <c r="Q933" s="5">
        <v>0</v>
      </c>
      <c r="R933" s="5">
        <v>200</v>
      </c>
      <c r="S933" s="5">
        <v>4500</v>
      </c>
      <c r="T933" s="5">
        <f t="shared" si="107"/>
        <v>2700</v>
      </c>
      <c r="U933" s="5">
        <f>4500+7250</f>
        <v>11750</v>
      </c>
      <c r="V933" s="5">
        <v>0</v>
      </c>
      <c r="W933" s="5">
        <v>0</v>
      </c>
      <c r="X933" s="5">
        <v>2000</v>
      </c>
      <c r="Y933" s="5">
        <v>16450</v>
      </c>
      <c r="Z933" s="5">
        <f t="shared" si="108"/>
        <v>16450</v>
      </c>
      <c r="AA933" s="20">
        <f t="shared" si="106"/>
        <v>0</v>
      </c>
    </row>
    <row r="934" spans="1:27" ht="12.75">
      <c r="A934" s="3" t="s">
        <v>1751</v>
      </c>
      <c r="B934" s="3" t="s">
        <v>898</v>
      </c>
      <c r="C934" s="3" t="s">
        <v>932</v>
      </c>
      <c r="D934" s="3" t="s">
        <v>1228</v>
      </c>
      <c r="E934" s="3" t="s">
        <v>3191</v>
      </c>
      <c r="F934" s="3" t="s">
        <v>1230</v>
      </c>
      <c r="G934" s="3" t="s">
        <v>1591</v>
      </c>
      <c r="H934" s="3" t="s">
        <v>1592</v>
      </c>
      <c r="I934" s="3" t="s">
        <v>1229</v>
      </c>
      <c r="J934" s="4">
        <v>0</v>
      </c>
      <c r="K934" s="4">
        <v>0</v>
      </c>
      <c r="L934" s="4">
        <v>0</v>
      </c>
      <c r="M934" s="4">
        <v>0</v>
      </c>
      <c r="N934" s="5">
        <v>0</v>
      </c>
      <c r="O934" s="5">
        <v>0</v>
      </c>
      <c r="P934" s="5">
        <v>0</v>
      </c>
      <c r="Q934" s="5">
        <v>0</v>
      </c>
      <c r="R934" s="5">
        <v>0</v>
      </c>
      <c r="S934" s="5">
        <v>0</v>
      </c>
      <c r="T934" s="5">
        <f t="shared" si="107"/>
        <v>0</v>
      </c>
      <c r="U934" s="5">
        <v>57000</v>
      </c>
      <c r="V934" s="5">
        <v>0</v>
      </c>
      <c r="W934" s="5">
        <v>0</v>
      </c>
      <c r="X934" s="5">
        <v>0</v>
      </c>
      <c r="Y934" s="5">
        <v>57000</v>
      </c>
      <c r="Z934" s="5">
        <f t="shared" si="108"/>
        <v>57000</v>
      </c>
      <c r="AA934" s="20">
        <f t="shared" si="106"/>
        <v>0</v>
      </c>
    </row>
    <row r="935" spans="1:27" ht="12.75">
      <c r="A935" s="3" t="s">
        <v>2770</v>
      </c>
      <c r="B935" s="3" t="s">
        <v>898</v>
      </c>
      <c r="C935" s="3" t="s">
        <v>932</v>
      </c>
      <c r="D935" s="3" t="s">
        <v>1231</v>
      </c>
      <c r="E935" s="3" t="s">
        <v>3191</v>
      </c>
      <c r="F935" s="3" t="s">
        <v>1233</v>
      </c>
      <c r="G935" s="3" t="s">
        <v>1591</v>
      </c>
      <c r="H935" s="3" t="s">
        <v>1592</v>
      </c>
      <c r="I935" s="3" t="s">
        <v>1232</v>
      </c>
      <c r="J935" s="4">
        <v>0</v>
      </c>
      <c r="K935" s="4">
        <v>0</v>
      </c>
      <c r="L935" s="4">
        <v>3</v>
      </c>
      <c r="M935" s="4">
        <v>0.582</v>
      </c>
      <c r="N935" s="5">
        <v>102948</v>
      </c>
      <c r="O935" s="5">
        <v>0</v>
      </c>
      <c r="P935" s="5">
        <v>48000</v>
      </c>
      <c r="Q935" s="5">
        <v>0</v>
      </c>
      <c r="R935" s="5">
        <v>23788</v>
      </c>
      <c r="S935" s="5">
        <v>10000</v>
      </c>
      <c r="T935" s="5">
        <f t="shared" si="107"/>
        <v>174736</v>
      </c>
      <c r="U935" s="5">
        <f>10000+75000</f>
        <v>85000</v>
      </c>
      <c r="V935" s="5">
        <v>0</v>
      </c>
      <c r="W935" s="5">
        <v>0</v>
      </c>
      <c r="X935" s="5">
        <v>0</v>
      </c>
      <c r="Y935" s="5">
        <v>259736</v>
      </c>
      <c r="Z935" s="5">
        <f t="shared" si="108"/>
        <v>259736</v>
      </c>
      <c r="AA935" s="20">
        <f t="shared" si="106"/>
        <v>0</v>
      </c>
    </row>
    <row r="936" spans="1:27" ht="12.75">
      <c r="A936" s="3" t="s">
        <v>1871</v>
      </c>
      <c r="B936" s="3" t="s">
        <v>898</v>
      </c>
      <c r="C936" s="3" t="s">
        <v>932</v>
      </c>
      <c r="D936" s="3" t="s">
        <v>1234</v>
      </c>
      <c r="E936" s="3" t="s">
        <v>3191</v>
      </c>
      <c r="F936" s="3" t="s">
        <v>1236</v>
      </c>
      <c r="G936" s="3" t="s">
        <v>1591</v>
      </c>
      <c r="H936" s="3" t="s">
        <v>1592</v>
      </c>
      <c r="I936" s="3" t="s">
        <v>1235</v>
      </c>
      <c r="J936" s="4">
        <v>0</v>
      </c>
      <c r="K936" s="4">
        <v>0</v>
      </c>
      <c r="L936" s="4">
        <v>0</v>
      </c>
      <c r="M936" s="4">
        <v>1</v>
      </c>
      <c r="N936" s="5">
        <v>4526</v>
      </c>
      <c r="O936" s="5">
        <v>0</v>
      </c>
      <c r="P936" s="5">
        <v>45000</v>
      </c>
      <c r="Q936" s="5">
        <v>0</v>
      </c>
      <c r="R936" s="5">
        <v>2800</v>
      </c>
      <c r="S936" s="5">
        <v>10000</v>
      </c>
      <c r="T936" s="5">
        <f t="shared" si="107"/>
        <v>52326</v>
      </c>
      <c r="U936" s="5">
        <f>10000+53000</f>
        <v>63000</v>
      </c>
      <c r="V936" s="5">
        <v>1000</v>
      </c>
      <c r="W936" s="5">
        <v>500</v>
      </c>
      <c r="X936" s="5">
        <v>1000</v>
      </c>
      <c r="Y936" s="5">
        <v>117826</v>
      </c>
      <c r="Z936" s="5">
        <f t="shared" si="108"/>
        <v>117826</v>
      </c>
      <c r="AA936" s="20">
        <f t="shared" si="106"/>
        <v>0</v>
      </c>
    </row>
    <row r="937" spans="1:27" ht="12.75">
      <c r="A937" s="3" t="s">
        <v>1699</v>
      </c>
      <c r="B937" s="3" t="s">
        <v>898</v>
      </c>
      <c r="C937" s="3" t="s">
        <v>932</v>
      </c>
      <c r="D937" s="3" t="s">
        <v>1237</v>
      </c>
      <c r="E937" s="3" t="s">
        <v>3191</v>
      </c>
      <c r="F937" s="3" t="s">
        <v>1239</v>
      </c>
      <c r="G937" s="3" t="s">
        <v>1591</v>
      </c>
      <c r="H937" s="3" t="s">
        <v>1592</v>
      </c>
      <c r="I937" s="3" t="s">
        <v>1238</v>
      </c>
      <c r="J937" s="4">
        <v>0</v>
      </c>
      <c r="K937" s="4">
        <v>0</v>
      </c>
      <c r="L937" s="4">
        <v>0</v>
      </c>
      <c r="M937" s="4">
        <v>0</v>
      </c>
      <c r="N937" s="5">
        <v>0</v>
      </c>
      <c r="O937" s="5">
        <v>0</v>
      </c>
      <c r="P937" s="5">
        <v>3000</v>
      </c>
      <c r="Q937" s="5">
        <v>0</v>
      </c>
      <c r="R937" s="5">
        <v>90</v>
      </c>
      <c r="S937" s="5">
        <v>1250</v>
      </c>
      <c r="T937" s="5">
        <f t="shared" si="107"/>
        <v>3090</v>
      </c>
      <c r="U937" s="5">
        <f>1250+2500</f>
        <v>3750</v>
      </c>
      <c r="V937" s="5">
        <v>0</v>
      </c>
      <c r="W937" s="5">
        <v>0</v>
      </c>
      <c r="X937" s="5">
        <v>100</v>
      </c>
      <c r="Y937" s="5">
        <v>6940</v>
      </c>
      <c r="Z937" s="5">
        <f t="shared" si="108"/>
        <v>6940</v>
      </c>
      <c r="AA937" s="20">
        <f t="shared" si="106"/>
        <v>0</v>
      </c>
    </row>
    <row r="938" spans="1:27" ht="12.75">
      <c r="A938" s="3" t="s">
        <v>1699</v>
      </c>
      <c r="B938" s="3" t="s">
        <v>898</v>
      </c>
      <c r="C938" s="3" t="s">
        <v>932</v>
      </c>
      <c r="D938" s="3" t="s">
        <v>1240</v>
      </c>
      <c r="E938" s="3" t="s">
        <v>3191</v>
      </c>
      <c r="F938" s="3" t="s">
        <v>1242</v>
      </c>
      <c r="G938" s="3" t="s">
        <v>1591</v>
      </c>
      <c r="H938" s="3" t="s">
        <v>1592</v>
      </c>
      <c r="I938" s="3" t="s">
        <v>1241</v>
      </c>
      <c r="J938" s="4">
        <v>0</v>
      </c>
      <c r="K938" s="4">
        <v>0</v>
      </c>
      <c r="L938" s="4">
        <v>4</v>
      </c>
      <c r="M938" s="4">
        <v>0</v>
      </c>
      <c r="N938" s="5">
        <v>102828</v>
      </c>
      <c r="O938" s="5">
        <v>0</v>
      </c>
      <c r="P938" s="5">
        <v>29000</v>
      </c>
      <c r="Q938" s="5">
        <v>0</v>
      </c>
      <c r="R938" s="5">
        <v>17417</v>
      </c>
      <c r="S938" s="5">
        <v>9500</v>
      </c>
      <c r="T938" s="5">
        <f t="shared" si="107"/>
        <v>149245</v>
      </c>
      <c r="U938" s="5">
        <f>9000+70000+500</f>
        <v>79500</v>
      </c>
      <c r="V938" s="5">
        <v>0</v>
      </c>
      <c r="W938" s="5">
        <v>0</v>
      </c>
      <c r="X938" s="5">
        <v>2500</v>
      </c>
      <c r="Y938" s="5">
        <v>231245</v>
      </c>
      <c r="Z938" s="5">
        <f t="shared" si="108"/>
        <v>231245</v>
      </c>
      <c r="AA938" s="20">
        <f t="shared" si="106"/>
        <v>0</v>
      </c>
    </row>
    <row r="939" spans="1:27" ht="12.75">
      <c r="A939" s="3" t="s">
        <v>1751</v>
      </c>
      <c r="B939" s="3" t="s">
        <v>898</v>
      </c>
      <c r="C939" s="3" t="s">
        <v>932</v>
      </c>
      <c r="D939" s="3" t="s">
        <v>1243</v>
      </c>
      <c r="E939" s="3" t="s">
        <v>3191</v>
      </c>
      <c r="F939" s="3" t="s">
        <v>1245</v>
      </c>
      <c r="G939" s="3" t="s">
        <v>1591</v>
      </c>
      <c r="H939" s="3" t="s">
        <v>1592</v>
      </c>
      <c r="I939" s="3" t="s">
        <v>1244</v>
      </c>
      <c r="J939" s="4">
        <v>0</v>
      </c>
      <c r="K939" s="4">
        <v>0</v>
      </c>
      <c r="L939" s="4">
        <v>0</v>
      </c>
      <c r="M939" s="4">
        <v>0</v>
      </c>
      <c r="N939" s="5">
        <v>0</v>
      </c>
      <c r="O939" s="5">
        <v>0</v>
      </c>
      <c r="P939" s="5">
        <v>0</v>
      </c>
      <c r="Q939" s="5">
        <v>0</v>
      </c>
      <c r="R939" s="5">
        <v>0</v>
      </c>
      <c r="S939" s="5">
        <v>0</v>
      </c>
      <c r="T939" s="5">
        <f t="shared" si="107"/>
        <v>0</v>
      </c>
      <c r="U939" s="5">
        <v>3000</v>
      </c>
      <c r="V939" s="5">
        <v>0</v>
      </c>
      <c r="W939" s="5">
        <v>0</v>
      </c>
      <c r="X939" s="5">
        <v>0</v>
      </c>
      <c r="Y939" s="5">
        <v>3000</v>
      </c>
      <c r="Z939" s="5">
        <f t="shared" si="108"/>
        <v>3000</v>
      </c>
      <c r="AA939" s="20">
        <f t="shared" si="106"/>
        <v>0</v>
      </c>
    </row>
    <row r="940" spans="1:27" ht="12.75">
      <c r="A940" s="3" t="s">
        <v>1936</v>
      </c>
      <c r="B940" s="3" t="s">
        <v>898</v>
      </c>
      <c r="C940" s="3" t="s">
        <v>932</v>
      </c>
      <c r="D940" s="3" t="s">
        <v>1246</v>
      </c>
      <c r="E940" s="3" t="s">
        <v>3191</v>
      </c>
      <c r="F940" s="3" t="s">
        <v>1248</v>
      </c>
      <c r="G940" s="3" t="s">
        <v>1591</v>
      </c>
      <c r="H940" s="3" t="s">
        <v>1592</v>
      </c>
      <c r="I940" s="3" t="s">
        <v>1247</v>
      </c>
      <c r="J940" s="4">
        <v>0</v>
      </c>
      <c r="K940" s="4">
        <v>0</v>
      </c>
      <c r="L940" s="4">
        <v>0</v>
      </c>
      <c r="M940" s="4">
        <v>0</v>
      </c>
      <c r="N940" s="5">
        <v>0</v>
      </c>
      <c r="O940" s="5">
        <v>0</v>
      </c>
      <c r="P940" s="5">
        <v>0</v>
      </c>
      <c r="Q940" s="5">
        <v>0</v>
      </c>
      <c r="R940" s="5">
        <v>0</v>
      </c>
      <c r="S940" s="5">
        <v>1500</v>
      </c>
      <c r="T940" s="5">
        <f t="shared" si="107"/>
        <v>0</v>
      </c>
      <c r="U940" s="5">
        <f>1500+500</f>
        <v>2000</v>
      </c>
      <c r="V940" s="5">
        <v>0</v>
      </c>
      <c r="W940" s="5">
        <v>0</v>
      </c>
      <c r="X940" s="5">
        <v>0</v>
      </c>
      <c r="Y940" s="5">
        <v>2000</v>
      </c>
      <c r="Z940" s="5">
        <f t="shared" si="108"/>
        <v>2000</v>
      </c>
      <c r="AA940" s="20">
        <f t="shared" si="106"/>
        <v>0</v>
      </c>
    </row>
    <row r="941" spans="1:27" ht="12.75">
      <c r="A941" s="3" t="s">
        <v>1936</v>
      </c>
      <c r="B941" s="3" t="s">
        <v>898</v>
      </c>
      <c r="C941" s="3" t="s">
        <v>932</v>
      </c>
      <c r="D941" s="3" t="s">
        <v>1249</v>
      </c>
      <c r="E941" s="3" t="s">
        <v>3191</v>
      </c>
      <c r="F941" s="3" t="s">
        <v>1251</v>
      </c>
      <c r="G941" s="3" t="s">
        <v>1591</v>
      </c>
      <c r="H941" s="3" t="s">
        <v>1592</v>
      </c>
      <c r="I941" s="3" t="s">
        <v>1250</v>
      </c>
      <c r="J941" s="4">
        <v>0</v>
      </c>
      <c r="K941" s="4">
        <v>0</v>
      </c>
      <c r="L941" s="4">
        <v>0</v>
      </c>
      <c r="M941" s="4">
        <v>0</v>
      </c>
      <c r="N941" s="5">
        <v>0</v>
      </c>
      <c r="O941" s="5">
        <v>0</v>
      </c>
      <c r="P941" s="5">
        <v>750</v>
      </c>
      <c r="Q941" s="5">
        <v>0</v>
      </c>
      <c r="R941" s="5">
        <v>114</v>
      </c>
      <c r="S941" s="5">
        <v>0</v>
      </c>
      <c r="T941" s="5">
        <f t="shared" si="107"/>
        <v>864</v>
      </c>
      <c r="U941" s="5">
        <v>1750</v>
      </c>
      <c r="V941" s="5">
        <v>0</v>
      </c>
      <c r="W941" s="5">
        <v>0</v>
      </c>
      <c r="X941" s="5">
        <v>0</v>
      </c>
      <c r="Y941" s="5">
        <v>2614</v>
      </c>
      <c r="Z941" s="5">
        <f t="shared" si="108"/>
        <v>2614</v>
      </c>
      <c r="AA941" s="20">
        <f t="shared" si="106"/>
        <v>0</v>
      </c>
    </row>
    <row r="942" spans="1:27" ht="12.75">
      <c r="A942" s="3" t="s">
        <v>2576</v>
      </c>
      <c r="B942" s="3" t="s">
        <v>898</v>
      </c>
      <c r="C942" s="3" t="s">
        <v>932</v>
      </c>
      <c r="D942" s="3" t="s">
        <v>1252</v>
      </c>
      <c r="E942" s="3" t="s">
        <v>3191</v>
      </c>
      <c r="F942" s="3" t="s">
        <v>1254</v>
      </c>
      <c r="G942" s="3" t="s">
        <v>1591</v>
      </c>
      <c r="H942" s="3" t="s">
        <v>1592</v>
      </c>
      <c r="I942" s="3" t="s">
        <v>1253</v>
      </c>
      <c r="J942" s="4">
        <v>0</v>
      </c>
      <c r="K942" s="4">
        <v>0</v>
      </c>
      <c r="L942" s="4">
        <v>1</v>
      </c>
      <c r="M942" s="4">
        <v>0</v>
      </c>
      <c r="N942" s="5">
        <v>23580</v>
      </c>
      <c r="O942" s="5">
        <v>0</v>
      </c>
      <c r="P942" s="5">
        <v>4550</v>
      </c>
      <c r="Q942" s="5">
        <v>0</v>
      </c>
      <c r="R942" s="5">
        <v>0</v>
      </c>
      <c r="S942" s="5">
        <v>0</v>
      </c>
      <c r="T942" s="5">
        <f t="shared" si="107"/>
        <v>28130</v>
      </c>
      <c r="U942" s="5">
        <v>12973</v>
      </c>
      <c r="V942" s="5">
        <v>0</v>
      </c>
      <c r="W942" s="5">
        <v>0</v>
      </c>
      <c r="X942" s="5">
        <v>0</v>
      </c>
      <c r="Y942" s="5">
        <v>41103</v>
      </c>
      <c r="Z942" s="5">
        <f t="shared" si="108"/>
        <v>41103</v>
      </c>
      <c r="AA942" s="20">
        <f t="shared" si="106"/>
        <v>0</v>
      </c>
    </row>
    <row r="943" spans="1:27" ht="12.75">
      <c r="A943" s="3" t="s">
        <v>2698</v>
      </c>
      <c r="B943" s="3" t="s">
        <v>1461</v>
      </c>
      <c r="C943" s="3" t="s">
        <v>1462</v>
      </c>
      <c r="D943" s="3" t="s">
        <v>1469</v>
      </c>
      <c r="E943" s="3" t="s">
        <v>1356</v>
      </c>
      <c r="F943" s="3" t="s">
        <v>1471</v>
      </c>
      <c r="G943" s="3" t="s">
        <v>1591</v>
      </c>
      <c r="H943" s="3" t="s">
        <v>1592</v>
      </c>
      <c r="I943" s="3" t="s">
        <v>1470</v>
      </c>
      <c r="J943" s="4">
        <v>0</v>
      </c>
      <c r="K943" s="4">
        <v>0</v>
      </c>
      <c r="L943" s="4">
        <v>1</v>
      </c>
      <c r="M943" s="4">
        <v>0.037</v>
      </c>
      <c r="N943" s="5">
        <v>20184</v>
      </c>
      <c r="O943" s="5">
        <v>1000</v>
      </c>
      <c r="P943" s="5">
        <v>44329</v>
      </c>
      <c r="Q943" s="5">
        <v>0</v>
      </c>
      <c r="R943" s="5">
        <v>15627</v>
      </c>
      <c r="S943" s="5">
        <v>0</v>
      </c>
      <c r="T943" s="5">
        <f t="shared" si="107"/>
        <v>81140</v>
      </c>
      <c r="U943" s="5">
        <v>301200</v>
      </c>
      <c r="V943" s="5">
        <v>0</v>
      </c>
      <c r="W943" s="5">
        <v>0</v>
      </c>
      <c r="X943" s="5">
        <v>31000</v>
      </c>
      <c r="Y943" s="5">
        <v>413340</v>
      </c>
      <c r="Z943" s="5">
        <f t="shared" si="108"/>
        <v>413340</v>
      </c>
      <c r="AA943" s="20">
        <f t="shared" si="106"/>
        <v>0</v>
      </c>
    </row>
    <row r="944" spans="1:27" ht="12.75">
      <c r="A944" s="3" t="s">
        <v>2698</v>
      </c>
      <c r="B944" s="3" t="s">
        <v>1461</v>
      </c>
      <c r="C944" s="3" t="s">
        <v>1462</v>
      </c>
      <c r="D944" s="3" t="s">
        <v>1472</v>
      </c>
      <c r="E944" s="3" t="s">
        <v>1356</v>
      </c>
      <c r="F944" s="3" t="s">
        <v>1474</v>
      </c>
      <c r="G944" s="3" t="s">
        <v>1591</v>
      </c>
      <c r="H944" s="3" t="s">
        <v>1592</v>
      </c>
      <c r="I944" s="3" t="s">
        <v>655</v>
      </c>
      <c r="J944" s="4">
        <v>0</v>
      </c>
      <c r="K944" s="4">
        <v>0</v>
      </c>
      <c r="L944" s="4">
        <v>0</v>
      </c>
      <c r="M944" s="4">
        <v>0</v>
      </c>
      <c r="N944" s="5">
        <v>0</v>
      </c>
      <c r="O944" s="5">
        <v>0</v>
      </c>
      <c r="P944" s="5">
        <v>0</v>
      </c>
      <c r="Q944" s="5">
        <v>0</v>
      </c>
      <c r="R944" s="5">
        <v>0</v>
      </c>
      <c r="S944" s="5">
        <v>0</v>
      </c>
      <c r="T944" s="5">
        <f t="shared" si="107"/>
        <v>0</v>
      </c>
      <c r="U944" s="5">
        <v>43400</v>
      </c>
      <c r="V944" s="5">
        <v>0</v>
      </c>
      <c r="W944" s="5">
        <v>429750</v>
      </c>
      <c r="X944" s="5">
        <v>198793</v>
      </c>
      <c r="Y944" s="5">
        <v>671943</v>
      </c>
      <c r="Z944" s="5">
        <f t="shared" si="108"/>
        <v>671943</v>
      </c>
      <c r="AA944" s="20">
        <f t="shared" si="106"/>
        <v>0</v>
      </c>
    </row>
    <row r="945" spans="1:27" ht="12.75">
      <c r="A945" s="3" t="s">
        <v>1964</v>
      </c>
      <c r="B945" s="3" t="s">
        <v>898</v>
      </c>
      <c r="C945" s="3" t="s">
        <v>932</v>
      </c>
      <c r="D945" s="3" t="s">
        <v>1255</v>
      </c>
      <c r="E945" s="3" t="s">
        <v>3191</v>
      </c>
      <c r="F945" s="3" t="s">
        <v>1257</v>
      </c>
      <c r="G945" s="3" t="s">
        <v>1591</v>
      </c>
      <c r="H945" s="3" t="s">
        <v>1592</v>
      </c>
      <c r="I945" s="3" t="s">
        <v>1256</v>
      </c>
      <c r="J945" s="4">
        <v>0</v>
      </c>
      <c r="K945" s="4">
        <v>0</v>
      </c>
      <c r="L945" s="4">
        <v>0</v>
      </c>
      <c r="M945" s="4">
        <v>0</v>
      </c>
      <c r="N945" s="5">
        <v>0</v>
      </c>
      <c r="O945" s="5">
        <v>0</v>
      </c>
      <c r="P945" s="5">
        <v>0</v>
      </c>
      <c r="Q945" s="5">
        <v>0</v>
      </c>
      <c r="R945" s="5">
        <v>0</v>
      </c>
      <c r="S945" s="5">
        <v>1432</v>
      </c>
      <c r="T945" s="5">
        <f t="shared" si="107"/>
        <v>0</v>
      </c>
      <c r="U945" s="5">
        <f>28541+1432</f>
        <v>29973</v>
      </c>
      <c r="V945" s="5">
        <v>0</v>
      </c>
      <c r="W945" s="5">
        <v>0</v>
      </c>
      <c r="X945" s="5">
        <v>500</v>
      </c>
      <c r="Y945" s="5">
        <v>30473</v>
      </c>
      <c r="Z945" s="5">
        <f t="shared" si="108"/>
        <v>30473</v>
      </c>
      <c r="AA945" s="20">
        <f t="shared" si="106"/>
        <v>0</v>
      </c>
    </row>
    <row r="946" spans="1:27" ht="12.75">
      <c r="A946" s="3" t="s">
        <v>1936</v>
      </c>
      <c r="B946" s="3" t="s">
        <v>898</v>
      </c>
      <c r="C946" s="3" t="s">
        <v>932</v>
      </c>
      <c r="D946" s="3" t="s">
        <v>1258</v>
      </c>
      <c r="E946" s="3" t="s">
        <v>3191</v>
      </c>
      <c r="F946" s="3" t="s">
        <v>1260</v>
      </c>
      <c r="G946" s="3" t="s">
        <v>1591</v>
      </c>
      <c r="H946" s="3" t="s">
        <v>1592</v>
      </c>
      <c r="I946" s="3" t="s">
        <v>1259</v>
      </c>
      <c r="J946" s="4">
        <v>0</v>
      </c>
      <c r="K946" s="4">
        <v>0</v>
      </c>
      <c r="L946" s="4">
        <v>0</v>
      </c>
      <c r="M946" s="4">
        <v>0</v>
      </c>
      <c r="N946" s="5">
        <v>0</v>
      </c>
      <c r="O946" s="5">
        <v>0</v>
      </c>
      <c r="P946" s="5">
        <v>1500</v>
      </c>
      <c r="Q946" s="5">
        <v>0</v>
      </c>
      <c r="R946" s="5">
        <v>0</v>
      </c>
      <c r="S946" s="5">
        <v>3000</v>
      </c>
      <c r="T946" s="5">
        <f t="shared" si="107"/>
        <v>1500</v>
      </c>
      <c r="U946" s="5">
        <v>46500</v>
      </c>
      <c r="V946" s="5">
        <v>0</v>
      </c>
      <c r="W946" s="5">
        <v>0</v>
      </c>
      <c r="X946" s="5">
        <v>1000</v>
      </c>
      <c r="Y946" s="5">
        <v>49000</v>
      </c>
      <c r="Z946" s="5">
        <f t="shared" si="108"/>
        <v>49000</v>
      </c>
      <c r="AA946" s="20">
        <f t="shared" si="106"/>
        <v>0</v>
      </c>
    </row>
    <row r="947" spans="1:27" ht="12.75">
      <c r="A947" s="3" t="s">
        <v>1751</v>
      </c>
      <c r="B947" s="3" t="s">
        <v>898</v>
      </c>
      <c r="C947" s="3" t="s">
        <v>932</v>
      </c>
      <c r="D947" s="3" t="s">
        <v>1261</v>
      </c>
      <c r="E947" s="3" t="s">
        <v>3191</v>
      </c>
      <c r="F947" s="3" t="s">
        <v>1263</v>
      </c>
      <c r="G947" s="3" t="s">
        <v>1591</v>
      </c>
      <c r="H947" s="3" t="s">
        <v>1592</v>
      </c>
      <c r="I947" s="3" t="s">
        <v>1262</v>
      </c>
      <c r="J947" s="4">
        <v>0</v>
      </c>
      <c r="K947" s="4">
        <v>0</v>
      </c>
      <c r="L947" s="4">
        <v>0</v>
      </c>
      <c r="M947" s="4">
        <v>1</v>
      </c>
      <c r="N947" s="5">
        <v>14004</v>
      </c>
      <c r="O947" s="5">
        <v>0</v>
      </c>
      <c r="P947" s="5">
        <v>0</v>
      </c>
      <c r="Q947" s="5">
        <v>0</v>
      </c>
      <c r="R947" s="5">
        <v>0</v>
      </c>
      <c r="S947" s="5">
        <v>0</v>
      </c>
      <c r="T947" s="5">
        <f t="shared" si="107"/>
        <v>14004</v>
      </c>
      <c r="U947" s="5">
        <v>11000</v>
      </c>
      <c r="V947" s="5">
        <v>0</v>
      </c>
      <c r="W947" s="5">
        <v>0</v>
      </c>
      <c r="X947" s="5">
        <v>0</v>
      </c>
      <c r="Y947" s="5">
        <v>25004</v>
      </c>
      <c r="Z947" s="5">
        <f t="shared" si="108"/>
        <v>25004</v>
      </c>
      <c r="AA947" s="20">
        <f t="shared" si="106"/>
        <v>0</v>
      </c>
    </row>
    <row r="948" spans="1:27" ht="12.75">
      <c r="A948" s="3" t="s">
        <v>1936</v>
      </c>
      <c r="B948" s="3" t="s">
        <v>898</v>
      </c>
      <c r="C948" s="3" t="s">
        <v>932</v>
      </c>
      <c r="D948" s="3" t="s">
        <v>1264</v>
      </c>
      <c r="E948" s="3" t="s">
        <v>3191</v>
      </c>
      <c r="F948" s="3" t="s">
        <v>1266</v>
      </c>
      <c r="G948" s="3" t="s">
        <v>1591</v>
      </c>
      <c r="H948" s="3" t="s">
        <v>1592</v>
      </c>
      <c r="I948" s="3" t="s">
        <v>656</v>
      </c>
      <c r="J948" s="4">
        <v>0</v>
      </c>
      <c r="K948" s="4">
        <v>0</v>
      </c>
      <c r="L948" s="4">
        <v>0</v>
      </c>
      <c r="M948" s="4">
        <v>0</v>
      </c>
      <c r="N948" s="5">
        <v>0</v>
      </c>
      <c r="O948" s="5">
        <v>0</v>
      </c>
      <c r="P948" s="5">
        <v>0</v>
      </c>
      <c r="Q948" s="5">
        <v>0</v>
      </c>
      <c r="R948" s="5">
        <v>0</v>
      </c>
      <c r="S948" s="5">
        <v>0</v>
      </c>
      <c r="T948" s="5">
        <f t="shared" si="107"/>
        <v>0</v>
      </c>
      <c r="U948" s="5">
        <v>2500</v>
      </c>
      <c r="V948" s="5">
        <v>0</v>
      </c>
      <c r="W948" s="5">
        <v>0</v>
      </c>
      <c r="X948" s="5">
        <v>1000</v>
      </c>
      <c r="Y948" s="5">
        <v>3500</v>
      </c>
      <c r="Z948" s="5">
        <f t="shared" si="108"/>
        <v>3500</v>
      </c>
      <c r="AA948" s="20">
        <f t="shared" si="106"/>
        <v>0</v>
      </c>
    </row>
    <row r="949" spans="1:27" ht="12.75">
      <c r="A949" s="3" t="s">
        <v>1871</v>
      </c>
      <c r="B949" s="3" t="s">
        <v>898</v>
      </c>
      <c r="C949" s="3" t="s">
        <v>932</v>
      </c>
      <c r="D949" s="3" t="s">
        <v>1267</v>
      </c>
      <c r="E949" s="3" t="s">
        <v>3191</v>
      </c>
      <c r="F949" s="3" t="s">
        <v>1269</v>
      </c>
      <c r="G949" s="3" t="s">
        <v>1591</v>
      </c>
      <c r="H949" s="3" t="s">
        <v>1592</v>
      </c>
      <c r="I949" s="3" t="s">
        <v>1268</v>
      </c>
      <c r="J949" s="4">
        <v>0</v>
      </c>
      <c r="K949" s="4">
        <v>0</v>
      </c>
      <c r="L949" s="4">
        <v>0</v>
      </c>
      <c r="M949" s="4">
        <v>0</v>
      </c>
      <c r="N949" s="5">
        <v>0</v>
      </c>
      <c r="O949" s="5">
        <v>0</v>
      </c>
      <c r="P949" s="5">
        <v>10000</v>
      </c>
      <c r="Q949" s="5">
        <v>0</v>
      </c>
      <c r="R949" s="5">
        <v>3040</v>
      </c>
      <c r="S949" s="5">
        <v>0</v>
      </c>
      <c r="T949" s="5">
        <f t="shared" si="107"/>
        <v>13040</v>
      </c>
      <c r="U949" s="5">
        <v>35000</v>
      </c>
      <c r="V949" s="5">
        <v>1000</v>
      </c>
      <c r="W949" s="5">
        <v>1000</v>
      </c>
      <c r="X949" s="5">
        <v>30000</v>
      </c>
      <c r="Y949" s="5">
        <v>80040</v>
      </c>
      <c r="Z949" s="5">
        <f t="shared" si="108"/>
        <v>80040</v>
      </c>
      <c r="AA949" s="20">
        <f t="shared" si="106"/>
        <v>0</v>
      </c>
    </row>
    <row r="950" spans="1:27" ht="12.75">
      <c r="A950" s="3" t="s">
        <v>1936</v>
      </c>
      <c r="B950" s="3" t="s">
        <v>898</v>
      </c>
      <c r="C950" s="3" t="s">
        <v>932</v>
      </c>
      <c r="D950" s="3" t="s">
        <v>1270</v>
      </c>
      <c r="E950" s="3" t="s">
        <v>3191</v>
      </c>
      <c r="F950" s="3" t="s">
        <v>1272</v>
      </c>
      <c r="G950" s="3" t="s">
        <v>1591</v>
      </c>
      <c r="H950" s="3" t="s">
        <v>1592</v>
      </c>
      <c r="I950" s="3" t="s">
        <v>1271</v>
      </c>
      <c r="J950" s="4">
        <v>0</v>
      </c>
      <c r="K950" s="4">
        <v>0</v>
      </c>
      <c r="L950" s="4">
        <v>0</v>
      </c>
      <c r="M950" s="4">
        <v>0</v>
      </c>
      <c r="N950" s="5">
        <v>0</v>
      </c>
      <c r="O950" s="5">
        <v>0</v>
      </c>
      <c r="P950" s="5">
        <v>20000</v>
      </c>
      <c r="Q950" s="5">
        <v>0</v>
      </c>
      <c r="R950" s="5">
        <v>7560</v>
      </c>
      <c r="S950" s="5">
        <v>25000</v>
      </c>
      <c r="T950" s="5">
        <f t="shared" si="107"/>
        <v>27560</v>
      </c>
      <c r="U950" s="5">
        <f>25000+43500</f>
        <v>68500</v>
      </c>
      <c r="V950" s="5">
        <v>0</v>
      </c>
      <c r="W950" s="5">
        <v>1000</v>
      </c>
      <c r="X950" s="5">
        <v>0</v>
      </c>
      <c r="Y950" s="5">
        <v>97060</v>
      </c>
      <c r="Z950" s="5">
        <f t="shared" si="108"/>
        <v>97060</v>
      </c>
      <c r="AA950" s="20">
        <f t="shared" si="106"/>
        <v>0</v>
      </c>
    </row>
    <row r="951" spans="1:27" ht="12.75">
      <c r="A951" s="3" t="s">
        <v>1936</v>
      </c>
      <c r="B951" s="3" t="s">
        <v>898</v>
      </c>
      <c r="C951" s="3" t="s">
        <v>932</v>
      </c>
      <c r="D951" s="3" t="s">
        <v>1273</v>
      </c>
      <c r="E951" s="3" t="s">
        <v>3191</v>
      </c>
      <c r="F951" s="3" t="s">
        <v>1275</v>
      </c>
      <c r="G951" s="3" t="s">
        <v>1591</v>
      </c>
      <c r="H951" s="3" t="s">
        <v>1592</v>
      </c>
      <c r="I951" s="3" t="s">
        <v>657</v>
      </c>
      <c r="J951" s="4">
        <v>0</v>
      </c>
      <c r="K951" s="4">
        <v>0</v>
      </c>
      <c r="L951" s="4">
        <v>0</v>
      </c>
      <c r="M951" s="4">
        <v>0</v>
      </c>
      <c r="N951" s="5">
        <v>0</v>
      </c>
      <c r="O951" s="5">
        <v>0</v>
      </c>
      <c r="P951" s="5">
        <v>18000</v>
      </c>
      <c r="Q951" s="5">
        <v>0</v>
      </c>
      <c r="R951" s="5">
        <v>2028</v>
      </c>
      <c r="S951" s="5">
        <v>0</v>
      </c>
      <c r="T951" s="5">
        <f t="shared" si="107"/>
        <v>20028</v>
      </c>
      <c r="U951" s="5">
        <v>2000</v>
      </c>
      <c r="V951" s="5">
        <v>0</v>
      </c>
      <c r="W951" s="5">
        <v>0</v>
      </c>
      <c r="X951" s="5">
        <v>0</v>
      </c>
      <c r="Y951" s="5">
        <v>22028</v>
      </c>
      <c r="Z951" s="5">
        <f t="shared" si="108"/>
        <v>22028</v>
      </c>
      <c r="AA951" s="20">
        <f t="shared" si="106"/>
        <v>0</v>
      </c>
    </row>
    <row r="952" spans="1:27" ht="12.75">
      <c r="A952" s="3" t="s">
        <v>1699</v>
      </c>
      <c r="B952" s="3" t="s">
        <v>898</v>
      </c>
      <c r="C952" s="3" t="s">
        <v>932</v>
      </c>
      <c r="D952" s="3" t="s">
        <v>1276</v>
      </c>
      <c r="E952" s="3" t="s">
        <v>3191</v>
      </c>
      <c r="F952" s="3" t="s">
        <v>1278</v>
      </c>
      <c r="G952" s="3" t="s">
        <v>1591</v>
      </c>
      <c r="H952" s="3" t="s">
        <v>1592</v>
      </c>
      <c r="I952" s="3" t="s">
        <v>658</v>
      </c>
      <c r="J952" s="4">
        <v>0</v>
      </c>
      <c r="K952" s="4">
        <v>0</v>
      </c>
      <c r="L952" s="4">
        <v>0</v>
      </c>
      <c r="M952" s="4">
        <v>0</v>
      </c>
      <c r="N952" s="5">
        <v>0</v>
      </c>
      <c r="O952" s="5">
        <v>0</v>
      </c>
      <c r="P952" s="5">
        <v>0</v>
      </c>
      <c r="Q952" s="5">
        <v>0</v>
      </c>
      <c r="R952" s="5">
        <v>0</v>
      </c>
      <c r="S952" s="5">
        <v>0</v>
      </c>
      <c r="T952" s="5">
        <f t="shared" si="107"/>
        <v>0</v>
      </c>
      <c r="U952" s="5">
        <v>3250</v>
      </c>
      <c r="V952" s="5">
        <v>0</v>
      </c>
      <c r="W952" s="5">
        <v>0</v>
      </c>
      <c r="X952" s="5">
        <v>0</v>
      </c>
      <c r="Y952" s="5">
        <v>3250</v>
      </c>
      <c r="Z952" s="5">
        <f t="shared" si="108"/>
        <v>3250</v>
      </c>
      <c r="AA952" s="20">
        <f t="shared" si="106"/>
        <v>0</v>
      </c>
    </row>
    <row r="953" spans="1:27" ht="12.75">
      <c r="A953" s="3" t="s">
        <v>1751</v>
      </c>
      <c r="B953" s="3" t="s">
        <v>898</v>
      </c>
      <c r="C953" s="3" t="s">
        <v>932</v>
      </c>
      <c r="D953" s="3" t="s">
        <v>1279</v>
      </c>
      <c r="E953" s="3" t="s">
        <v>3191</v>
      </c>
      <c r="F953" s="3" t="s">
        <v>1281</v>
      </c>
      <c r="G953" s="3" t="s">
        <v>1591</v>
      </c>
      <c r="H953" s="3" t="s">
        <v>1592</v>
      </c>
      <c r="I953" s="3" t="s">
        <v>1280</v>
      </c>
      <c r="J953" s="4">
        <v>0</v>
      </c>
      <c r="K953" s="4">
        <v>0</v>
      </c>
      <c r="L953" s="4">
        <v>0</v>
      </c>
      <c r="M953" s="4">
        <v>0</v>
      </c>
      <c r="N953" s="5">
        <v>0</v>
      </c>
      <c r="O953" s="5">
        <v>0</v>
      </c>
      <c r="P953" s="5">
        <v>0</v>
      </c>
      <c r="Q953" s="5">
        <v>0</v>
      </c>
      <c r="R953" s="5">
        <v>0</v>
      </c>
      <c r="S953" s="5">
        <v>0</v>
      </c>
      <c r="T953" s="5">
        <f t="shared" si="107"/>
        <v>0</v>
      </c>
      <c r="U953" s="5">
        <v>27000</v>
      </c>
      <c r="V953" s="5">
        <v>0</v>
      </c>
      <c r="W953" s="5">
        <v>0</v>
      </c>
      <c r="X953" s="5">
        <v>0</v>
      </c>
      <c r="Y953" s="5">
        <v>27000</v>
      </c>
      <c r="Z953" s="5">
        <f t="shared" si="108"/>
        <v>27000</v>
      </c>
      <c r="AA953" s="20">
        <f t="shared" si="106"/>
        <v>0</v>
      </c>
    </row>
    <row r="954" spans="1:27" ht="12.75">
      <c r="A954" s="3" t="s">
        <v>1584</v>
      </c>
      <c r="B954" s="3" t="s">
        <v>898</v>
      </c>
      <c r="C954" s="3" t="s">
        <v>932</v>
      </c>
      <c r="D954" s="3" t="s">
        <v>1282</v>
      </c>
      <c r="E954" s="3" t="s">
        <v>1189</v>
      </c>
      <c r="F954" s="3" t="s">
        <v>1283</v>
      </c>
      <c r="G954" s="3" t="s">
        <v>1591</v>
      </c>
      <c r="H954" s="3" t="s">
        <v>1592</v>
      </c>
      <c r="I954" s="3" t="s">
        <v>3164</v>
      </c>
      <c r="J954" s="4">
        <v>0</v>
      </c>
      <c r="K954" s="4">
        <v>0</v>
      </c>
      <c r="L954" s="4">
        <v>2</v>
      </c>
      <c r="M954" s="4">
        <v>0</v>
      </c>
      <c r="N954" s="5">
        <v>66072</v>
      </c>
      <c r="O954" s="5">
        <v>0</v>
      </c>
      <c r="P954" s="5">
        <v>18572</v>
      </c>
      <c r="Q954" s="5">
        <v>0</v>
      </c>
      <c r="R954" s="5">
        <v>1077</v>
      </c>
      <c r="S954" s="5">
        <v>5401</v>
      </c>
      <c r="T954" s="5">
        <f t="shared" si="107"/>
        <v>85721</v>
      </c>
      <c r="U954" s="5">
        <f>5401+14814</f>
        <v>20215</v>
      </c>
      <c r="V954" s="5">
        <v>0</v>
      </c>
      <c r="W954" s="5">
        <v>1125</v>
      </c>
      <c r="X954" s="5">
        <v>48848</v>
      </c>
      <c r="Y954" s="5">
        <v>155909</v>
      </c>
      <c r="Z954" s="5">
        <f t="shared" si="108"/>
        <v>155909</v>
      </c>
      <c r="AA954" s="20">
        <f t="shared" si="106"/>
        <v>0</v>
      </c>
    </row>
    <row r="955" spans="1:27" ht="12.75">
      <c r="A955" s="3" t="s">
        <v>1699</v>
      </c>
      <c r="B955" s="3" t="s">
        <v>898</v>
      </c>
      <c r="C955" s="3" t="s">
        <v>932</v>
      </c>
      <c r="D955" s="3" t="s">
        <v>1284</v>
      </c>
      <c r="E955" s="3" t="s">
        <v>3191</v>
      </c>
      <c r="F955" s="3" t="s">
        <v>1286</v>
      </c>
      <c r="G955" s="3" t="s">
        <v>1591</v>
      </c>
      <c r="H955" s="3" t="s">
        <v>1592</v>
      </c>
      <c r="I955" s="3" t="s">
        <v>1285</v>
      </c>
      <c r="J955" s="4">
        <v>0</v>
      </c>
      <c r="K955" s="4">
        <v>0</v>
      </c>
      <c r="L955" s="4">
        <v>0</v>
      </c>
      <c r="M955" s="4">
        <v>0</v>
      </c>
      <c r="N955" s="5">
        <v>0</v>
      </c>
      <c r="O955" s="5">
        <v>0</v>
      </c>
      <c r="P955" s="5">
        <v>20000</v>
      </c>
      <c r="Q955" s="5">
        <v>0</v>
      </c>
      <c r="R955" s="5">
        <v>600</v>
      </c>
      <c r="S955" s="5">
        <v>3500</v>
      </c>
      <c r="T955" s="5">
        <f t="shared" si="107"/>
        <v>20600</v>
      </c>
      <c r="U955" s="5">
        <f>3500+17850</f>
        <v>21350</v>
      </c>
      <c r="V955" s="5">
        <v>0</v>
      </c>
      <c r="W955" s="5">
        <v>0</v>
      </c>
      <c r="X955" s="5">
        <v>100</v>
      </c>
      <c r="Y955" s="5">
        <v>42050</v>
      </c>
      <c r="Z955" s="5">
        <f t="shared" si="108"/>
        <v>42050</v>
      </c>
      <c r="AA955" s="20">
        <f t="shared" si="106"/>
        <v>0</v>
      </c>
    </row>
    <row r="956" spans="1:27" ht="12.75">
      <c r="A956" s="3" t="s">
        <v>1871</v>
      </c>
      <c r="B956" s="3" t="s">
        <v>898</v>
      </c>
      <c r="C956" s="3" t="s">
        <v>932</v>
      </c>
      <c r="D956" s="3" t="s">
        <v>1287</v>
      </c>
      <c r="E956" s="3" t="s">
        <v>3191</v>
      </c>
      <c r="F956" s="3" t="s">
        <v>1289</v>
      </c>
      <c r="G956" s="3" t="s">
        <v>1591</v>
      </c>
      <c r="H956" s="3" t="s">
        <v>1592</v>
      </c>
      <c r="I956" s="3" t="s">
        <v>1288</v>
      </c>
      <c r="J956" s="4">
        <v>0</v>
      </c>
      <c r="K956" s="4">
        <v>0</v>
      </c>
      <c r="L956" s="4">
        <v>0</v>
      </c>
      <c r="M956" s="4">
        <v>0</v>
      </c>
      <c r="N956" s="5">
        <v>0</v>
      </c>
      <c r="O956" s="5">
        <v>0</v>
      </c>
      <c r="P956" s="5">
        <v>0</v>
      </c>
      <c r="Q956" s="5">
        <v>0</v>
      </c>
      <c r="R956" s="5">
        <v>0</v>
      </c>
      <c r="S956" s="5">
        <v>469</v>
      </c>
      <c r="T956" s="5">
        <f t="shared" si="107"/>
        <v>0</v>
      </c>
      <c r="U956" s="5">
        <f>SUM(S956:S956)</f>
        <v>469</v>
      </c>
      <c r="V956" s="5">
        <v>0</v>
      </c>
      <c r="W956" s="5">
        <v>0</v>
      </c>
      <c r="X956" s="5">
        <v>0</v>
      </c>
      <c r="Y956" s="5">
        <v>469</v>
      </c>
      <c r="Z956" s="5">
        <f t="shared" si="108"/>
        <v>469</v>
      </c>
      <c r="AA956" s="20">
        <f t="shared" si="106"/>
        <v>0</v>
      </c>
    </row>
    <row r="957" spans="1:27" ht="12.75">
      <c r="A957" s="3" t="s">
        <v>1751</v>
      </c>
      <c r="B957" s="3" t="s">
        <v>898</v>
      </c>
      <c r="C957" s="3" t="s">
        <v>932</v>
      </c>
      <c r="D957" s="3" t="s">
        <v>1290</v>
      </c>
      <c r="E957" s="3" t="s">
        <v>3191</v>
      </c>
      <c r="F957" s="3" t="s">
        <v>1292</v>
      </c>
      <c r="G957" s="3" t="s">
        <v>1591</v>
      </c>
      <c r="H957" s="3" t="s">
        <v>1592</v>
      </c>
      <c r="I957" s="3" t="s">
        <v>659</v>
      </c>
      <c r="J957" s="4">
        <v>0</v>
      </c>
      <c r="K957" s="4">
        <v>0</v>
      </c>
      <c r="L957" s="4">
        <v>0</v>
      </c>
      <c r="M957" s="4">
        <v>0</v>
      </c>
      <c r="N957" s="5">
        <v>0</v>
      </c>
      <c r="O957" s="5">
        <v>0</v>
      </c>
      <c r="P957" s="5">
        <v>0</v>
      </c>
      <c r="Q957" s="5">
        <v>0</v>
      </c>
      <c r="R957" s="5">
        <v>0</v>
      </c>
      <c r="S957" s="5">
        <v>0</v>
      </c>
      <c r="T957" s="5">
        <f t="shared" si="107"/>
        <v>0</v>
      </c>
      <c r="U957" s="5">
        <v>3400</v>
      </c>
      <c r="V957" s="5">
        <v>0</v>
      </c>
      <c r="W957" s="5">
        <v>0</v>
      </c>
      <c r="X957" s="5">
        <v>0</v>
      </c>
      <c r="Y957" s="5">
        <v>3400</v>
      </c>
      <c r="Z957" s="5">
        <f t="shared" si="108"/>
        <v>3400</v>
      </c>
      <c r="AA957" s="20">
        <f t="shared" si="106"/>
        <v>0</v>
      </c>
    </row>
    <row r="958" spans="1:27" ht="12.75">
      <c r="A958" s="3" t="s">
        <v>1871</v>
      </c>
      <c r="B958" s="3" t="s">
        <v>898</v>
      </c>
      <c r="C958" s="3" t="s">
        <v>932</v>
      </c>
      <c r="D958" s="3" t="s">
        <v>1293</v>
      </c>
      <c r="E958" s="3" t="s">
        <v>3191</v>
      </c>
      <c r="F958" s="3" t="s">
        <v>1295</v>
      </c>
      <c r="G958" s="3" t="s">
        <v>1591</v>
      </c>
      <c r="H958" s="3" t="s">
        <v>1592</v>
      </c>
      <c r="I958" s="3" t="s">
        <v>1294</v>
      </c>
      <c r="J958" s="4">
        <v>0</v>
      </c>
      <c r="K958" s="4">
        <v>0</v>
      </c>
      <c r="L958" s="4">
        <v>0</v>
      </c>
      <c r="M958" s="4">
        <v>0</v>
      </c>
      <c r="N958" s="5">
        <v>0</v>
      </c>
      <c r="O958" s="5">
        <v>0</v>
      </c>
      <c r="P958" s="5">
        <v>2500</v>
      </c>
      <c r="Q958" s="5">
        <v>0</v>
      </c>
      <c r="R958" s="5">
        <v>340</v>
      </c>
      <c r="S958" s="5">
        <v>0</v>
      </c>
      <c r="T958" s="5">
        <f t="shared" si="107"/>
        <v>2840</v>
      </c>
      <c r="U958" s="5">
        <v>1200</v>
      </c>
      <c r="V958" s="5">
        <v>0</v>
      </c>
      <c r="W958" s="5">
        <v>500</v>
      </c>
      <c r="X958" s="5">
        <v>0</v>
      </c>
      <c r="Y958" s="5">
        <v>4540</v>
      </c>
      <c r="Z958" s="5">
        <f t="shared" si="108"/>
        <v>4540</v>
      </c>
      <c r="AA958" s="20">
        <f t="shared" si="106"/>
        <v>0</v>
      </c>
    </row>
    <row r="959" spans="1:27" ht="12.75">
      <c r="A959" s="3" t="s">
        <v>1964</v>
      </c>
      <c r="B959" s="3" t="s">
        <v>898</v>
      </c>
      <c r="C959" s="3" t="s">
        <v>932</v>
      </c>
      <c r="D959" s="3" t="s">
        <v>1296</v>
      </c>
      <c r="E959" s="3" t="s">
        <v>3191</v>
      </c>
      <c r="F959" s="3" t="s">
        <v>1298</v>
      </c>
      <c r="G959" s="3" t="s">
        <v>1591</v>
      </c>
      <c r="H959" s="3" t="s">
        <v>1592</v>
      </c>
      <c r="I959" s="3" t="s">
        <v>1297</v>
      </c>
      <c r="J959" s="4">
        <v>0</v>
      </c>
      <c r="K959" s="4">
        <v>0</v>
      </c>
      <c r="L959" s="4">
        <v>0</v>
      </c>
      <c r="M959" s="4">
        <v>0</v>
      </c>
      <c r="N959" s="5">
        <v>0</v>
      </c>
      <c r="O959" s="5">
        <v>0</v>
      </c>
      <c r="P959" s="5">
        <v>0</v>
      </c>
      <c r="Q959" s="5">
        <v>0</v>
      </c>
      <c r="R959" s="5">
        <v>0</v>
      </c>
      <c r="S959" s="5">
        <v>1000</v>
      </c>
      <c r="T959" s="5">
        <f t="shared" si="107"/>
        <v>0</v>
      </c>
      <c r="U959" s="5">
        <f>1000+27825</f>
        <v>28825</v>
      </c>
      <c r="V959" s="5">
        <v>0</v>
      </c>
      <c r="W959" s="5">
        <v>3300</v>
      </c>
      <c r="X959" s="5">
        <v>798</v>
      </c>
      <c r="Y959" s="5">
        <v>32923</v>
      </c>
      <c r="Z959" s="5">
        <f t="shared" si="108"/>
        <v>32923</v>
      </c>
      <c r="AA959" s="20">
        <f t="shared" si="106"/>
        <v>0</v>
      </c>
    </row>
    <row r="960" spans="1:27" ht="12.75">
      <c r="A960" s="3" t="s">
        <v>1936</v>
      </c>
      <c r="B960" s="3" t="s">
        <v>898</v>
      </c>
      <c r="C960" s="3" t="s">
        <v>932</v>
      </c>
      <c r="D960" s="3" t="s">
        <v>1299</v>
      </c>
      <c r="E960" s="3" t="s">
        <v>3191</v>
      </c>
      <c r="F960" s="3" t="s">
        <v>1301</v>
      </c>
      <c r="G960" s="3" t="s">
        <v>1591</v>
      </c>
      <c r="H960" s="3" t="s">
        <v>1592</v>
      </c>
      <c r="I960" s="3" t="s">
        <v>1300</v>
      </c>
      <c r="J960" s="4">
        <v>0</v>
      </c>
      <c r="K960" s="4">
        <v>0</v>
      </c>
      <c r="L960" s="4">
        <v>0</v>
      </c>
      <c r="M960" s="4">
        <v>0</v>
      </c>
      <c r="N960" s="5">
        <v>0</v>
      </c>
      <c r="O960" s="5">
        <v>0</v>
      </c>
      <c r="P960" s="5">
        <v>0</v>
      </c>
      <c r="Q960" s="5">
        <v>0</v>
      </c>
      <c r="R960" s="5">
        <v>0</v>
      </c>
      <c r="S960" s="5">
        <v>0</v>
      </c>
      <c r="T960" s="5">
        <f t="shared" si="107"/>
        <v>0</v>
      </c>
      <c r="U960" s="5">
        <v>360</v>
      </c>
      <c r="V960" s="5">
        <v>0</v>
      </c>
      <c r="W960" s="5">
        <v>0</v>
      </c>
      <c r="X960" s="5">
        <v>0</v>
      </c>
      <c r="Y960" s="5">
        <v>359.61</v>
      </c>
      <c r="Z960" s="5">
        <f t="shared" si="108"/>
        <v>360</v>
      </c>
      <c r="AA960" s="20">
        <f t="shared" si="106"/>
        <v>-0.38999999999998636</v>
      </c>
    </row>
    <row r="961" spans="1:27" ht="12.75">
      <c r="A961" s="3" t="s">
        <v>1751</v>
      </c>
      <c r="B961" s="3" t="s">
        <v>898</v>
      </c>
      <c r="C961" s="3" t="s">
        <v>932</v>
      </c>
      <c r="D961" s="3" t="s">
        <v>1302</v>
      </c>
      <c r="E961" s="3" t="s">
        <v>3191</v>
      </c>
      <c r="F961" s="3" t="s">
        <v>1304</v>
      </c>
      <c r="G961" s="3" t="s">
        <v>1591</v>
      </c>
      <c r="H961" s="3" t="s">
        <v>1592</v>
      </c>
      <c r="I961" s="3" t="s">
        <v>1303</v>
      </c>
      <c r="J961" s="4">
        <v>0</v>
      </c>
      <c r="K961" s="4">
        <v>0</v>
      </c>
      <c r="L961" s="4">
        <v>0</v>
      </c>
      <c r="M961" s="4">
        <v>0</v>
      </c>
      <c r="N961" s="5">
        <v>0</v>
      </c>
      <c r="O961" s="5">
        <v>0</v>
      </c>
      <c r="P961" s="5">
        <v>0</v>
      </c>
      <c r="Q961" s="5">
        <v>0</v>
      </c>
      <c r="R961" s="5">
        <v>0</v>
      </c>
      <c r="S961" s="5">
        <v>0</v>
      </c>
      <c r="T961" s="5">
        <f t="shared" si="107"/>
        <v>0</v>
      </c>
      <c r="U961" s="5">
        <v>3500</v>
      </c>
      <c r="V961" s="5">
        <v>0</v>
      </c>
      <c r="W961" s="5">
        <v>0</v>
      </c>
      <c r="X961" s="5">
        <v>0</v>
      </c>
      <c r="Y961" s="5">
        <v>3500</v>
      </c>
      <c r="Z961" s="5">
        <f t="shared" si="108"/>
        <v>3500</v>
      </c>
      <c r="AA961" s="20">
        <f t="shared" si="106"/>
        <v>0</v>
      </c>
    </row>
    <row r="962" spans="1:27" ht="12.75">
      <c r="A962" s="3" t="s">
        <v>1936</v>
      </c>
      <c r="B962" s="3" t="s">
        <v>898</v>
      </c>
      <c r="C962" s="3" t="s">
        <v>932</v>
      </c>
      <c r="D962" s="3" t="s">
        <v>1305</v>
      </c>
      <c r="E962" s="3" t="s">
        <v>3191</v>
      </c>
      <c r="F962" s="3" t="s">
        <v>1308</v>
      </c>
      <c r="G962" s="3" t="s">
        <v>1591</v>
      </c>
      <c r="H962" s="3" t="s">
        <v>1592</v>
      </c>
      <c r="I962" s="3" t="s">
        <v>660</v>
      </c>
      <c r="J962" s="4">
        <v>0</v>
      </c>
      <c r="K962" s="4">
        <v>0</v>
      </c>
      <c r="L962" s="4">
        <v>0</v>
      </c>
      <c r="M962" s="4">
        <v>0</v>
      </c>
      <c r="N962" s="5">
        <v>0</v>
      </c>
      <c r="O962" s="5">
        <v>0</v>
      </c>
      <c r="P962" s="5">
        <v>16920</v>
      </c>
      <c r="Q962" s="5">
        <v>0</v>
      </c>
      <c r="R962" s="5">
        <v>0</v>
      </c>
      <c r="S962" s="5">
        <v>2000</v>
      </c>
      <c r="T962" s="5">
        <f t="shared" si="107"/>
        <v>16920</v>
      </c>
      <c r="U962" s="5">
        <f>2000+125541</f>
        <v>127541</v>
      </c>
      <c r="V962" s="5">
        <v>0</v>
      </c>
      <c r="W962" s="5">
        <v>0</v>
      </c>
      <c r="X962" s="5">
        <v>0</v>
      </c>
      <c r="Y962" s="5">
        <v>144461</v>
      </c>
      <c r="Z962" s="5">
        <f t="shared" si="108"/>
        <v>144461</v>
      </c>
      <c r="AA962" s="20">
        <f t="shared" si="106"/>
        <v>0</v>
      </c>
    </row>
    <row r="963" spans="1:27" ht="12.75">
      <c r="A963" s="3" t="s">
        <v>2770</v>
      </c>
      <c r="B963" s="3" t="s">
        <v>898</v>
      </c>
      <c r="C963" s="3" t="s">
        <v>932</v>
      </c>
      <c r="D963" s="3" t="s">
        <v>1309</v>
      </c>
      <c r="E963" s="3" t="s">
        <v>3191</v>
      </c>
      <c r="F963" s="3" t="s">
        <v>1311</v>
      </c>
      <c r="G963" s="3" t="s">
        <v>1591</v>
      </c>
      <c r="H963" s="3" t="s">
        <v>1592</v>
      </c>
      <c r="I963" s="3" t="s">
        <v>1310</v>
      </c>
      <c r="J963" s="4">
        <v>0</v>
      </c>
      <c r="K963" s="4">
        <v>0</v>
      </c>
      <c r="L963" s="4">
        <v>0</v>
      </c>
      <c r="M963" s="4">
        <v>0</v>
      </c>
      <c r="N963" s="5">
        <v>0</v>
      </c>
      <c r="O963" s="5">
        <v>0</v>
      </c>
      <c r="P963" s="5">
        <v>0</v>
      </c>
      <c r="Q963" s="5">
        <v>0</v>
      </c>
      <c r="R963" s="5">
        <v>4402</v>
      </c>
      <c r="S963" s="5">
        <v>0</v>
      </c>
      <c r="T963" s="5">
        <f t="shared" si="107"/>
        <v>4402</v>
      </c>
      <c r="U963" s="5">
        <f>SUM(S963:S963)</f>
        <v>0</v>
      </c>
      <c r="V963" s="5">
        <v>0</v>
      </c>
      <c r="W963" s="5">
        <v>0</v>
      </c>
      <c r="X963" s="5">
        <v>0</v>
      </c>
      <c r="Y963" s="5">
        <v>4402</v>
      </c>
      <c r="Z963" s="5">
        <f t="shared" si="108"/>
        <v>4402</v>
      </c>
      <c r="AA963" s="20">
        <f t="shared" si="106"/>
        <v>0</v>
      </c>
    </row>
    <row r="964" spans="1:27" ht="12.75">
      <c r="A964" s="3" t="s">
        <v>2576</v>
      </c>
      <c r="B964" s="3" t="s">
        <v>898</v>
      </c>
      <c r="C964" s="3" t="s">
        <v>932</v>
      </c>
      <c r="D964" s="3" t="s">
        <v>1312</v>
      </c>
      <c r="E964" s="3" t="s">
        <v>3191</v>
      </c>
      <c r="F964" s="3" t="s">
        <v>1313</v>
      </c>
      <c r="G964" s="3" t="s">
        <v>1591</v>
      </c>
      <c r="H964" s="3" t="s">
        <v>1592</v>
      </c>
      <c r="I964" s="3" t="s">
        <v>2603</v>
      </c>
      <c r="J964" s="4">
        <v>0</v>
      </c>
      <c r="K964" s="4">
        <v>0</v>
      </c>
      <c r="L964" s="4">
        <v>0</v>
      </c>
      <c r="M964" s="4">
        <v>0</v>
      </c>
      <c r="N964" s="5">
        <v>0</v>
      </c>
      <c r="O964" s="5">
        <v>0</v>
      </c>
      <c r="P964" s="5">
        <v>4628</v>
      </c>
      <c r="Q964" s="5">
        <v>0</v>
      </c>
      <c r="R964" s="5">
        <v>0</v>
      </c>
      <c r="S964" s="5">
        <v>0</v>
      </c>
      <c r="T964" s="5">
        <f t="shared" si="107"/>
        <v>4628</v>
      </c>
      <c r="U964" s="5">
        <v>10865</v>
      </c>
      <c r="V964" s="5">
        <v>0</v>
      </c>
      <c r="W964" s="5">
        <v>0</v>
      </c>
      <c r="X964" s="5">
        <v>0</v>
      </c>
      <c r="Y964" s="5">
        <v>15493</v>
      </c>
      <c r="Z964" s="5">
        <f t="shared" si="108"/>
        <v>15493</v>
      </c>
      <c r="AA964" s="20">
        <f t="shared" si="106"/>
        <v>0</v>
      </c>
    </row>
    <row r="965" spans="1:27" ht="12.75">
      <c r="A965" s="3" t="s">
        <v>1842</v>
      </c>
      <c r="B965" s="3" t="s">
        <v>898</v>
      </c>
      <c r="C965" s="3" t="s">
        <v>932</v>
      </c>
      <c r="D965" s="3" t="s">
        <v>1314</v>
      </c>
      <c r="E965" s="3" t="s">
        <v>3191</v>
      </c>
      <c r="F965" s="3" t="s">
        <v>1316</v>
      </c>
      <c r="G965" s="3" t="s">
        <v>1591</v>
      </c>
      <c r="H965" s="3" t="s">
        <v>1592</v>
      </c>
      <c r="I965" s="3" t="s">
        <v>1315</v>
      </c>
      <c r="J965" s="4">
        <v>0</v>
      </c>
      <c r="K965" s="4">
        <v>0</v>
      </c>
      <c r="L965" s="4">
        <v>1</v>
      </c>
      <c r="M965" s="4">
        <v>0</v>
      </c>
      <c r="N965" s="5">
        <v>23952</v>
      </c>
      <c r="O965" s="5">
        <v>0</v>
      </c>
      <c r="P965" s="5">
        <v>7058</v>
      </c>
      <c r="Q965" s="5">
        <v>0</v>
      </c>
      <c r="R965" s="5">
        <v>142</v>
      </c>
      <c r="S965" s="5">
        <v>0</v>
      </c>
      <c r="T965" s="5">
        <f t="shared" si="107"/>
        <v>31152</v>
      </c>
      <c r="U965" s="5">
        <v>13650</v>
      </c>
      <c r="V965" s="5">
        <v>0</v>
      </c>
      <c r="W965" s="5">
        <v>0</v>
      </c>
      <c r="X965" s="5">
        <v>0</v>
      </c>
      <c r="Y965" s="5">
        <v>44802</v>
      </c>
      <c r="Z965" s="5">
        <f t="shared" si="108"/>
        <v>44802</v>
      </c>
      <c r="AA965" s="20">
        <f t="shared" si="106"/>
        <v>0</v>
      </c>
    </row>
    <row r="966" spans="1:27" ht="12.75">
      <c r="A966" s="3" t="s">
        <v>1584</v>
      </c>
      <c r="B966" s="3" t="s">
        <v>898</v>
      </c>
      <c r="C966" s="3" t="s">
        <v>932</v>
      </c>
      <c r="D966" s="3" t="s">
        <v>1317</v>
      </c>
      <c r="E966" s="3" t="s">
        <v>3191</v>
      </c>
      <c r="F966" s="3" t="s">
        <v>1319</v>
      </c>
      <c r="G966" s="3" t="s">
        <v>1591</v>
      </c>
      <c r="H966" s="3" t="s">
        <v>1592</v>
      </c>
      <c r="I966" s="3" t="s">
        <v>1318</v>
      </c>
      <c r="J966" s="4">
        <v>0</v>
      </c>
      <c r="K966" s="4">
        <v>0</v>
      </c>
      <c r="L966" s="4">
        <v>0</v>
      </c>
      <c r="M966" s="4">
        <v>0</v>
      </c>
      <c r="N966" s="5">
        <v>0</v>
      </c>
      <c r="O966" s="5">
        <v>0</v>
      </c>
      <c r="P966" s="5">
        <v>5500</v>
      </c>
      <c r="Q966" s="5">
        <v>0</v>
      </c>
      <c r="R966" s="5">
        <v>375</v>
      </c>
      <c r="S966" s="5">
        <v>0</v>
      </c>
      <c r="T966" s="5">
        <f t="shared" si="107"/>
        <v>5875</v>
      </c>
      <c r="U966" s="5">
        <v>13000</v>
      </c>
      <c r="V966" s="5">
        <v>0</v>
      </c>
      <c r="W966" s="5">
        <v>0</v>
      </c>
      <c r="X966" s="5">
        <v>0</v>
      </c>
      <c r="Y966" s="5">
        <v>18875</v>
      </c>
      <c r="Z966" s="5">
        <f t="shared" si="108"/>
        <v>18875</v>
      </c>
      <c r="AA966" s="20">
        <f t="shared" si="106"/>
        <v>0</v>
      </c>
    </row>
    <row r="967" spans="1:27" ht="12.75">
      <c r="A967" s="3" t="s">
        <v>1908</v>
      </c>
      <c r="B967" s="3" t="s">
        <v>898</v>
      </c>
      <c r="C967" s="3" t="s">
        <v>932</v>
      </c>
      <c r="D967" s="3" t="s">
        <v>1320</v>
      </c>
      <c r="E967" s="3" t="s">
        <v>3191</v>
      </c>
      <c r="F967" s="3" t="s">
        <v>1322</v>
      </c>
      <c r="G967" s="3" t="s">
        <v>1591</v>
      </c>
      <c r="H967" s="3" t="s">
        <v>1592</v>
      </c>
      <c r="I967" s="3" t="s">
        <v>1321</v>
      </c>
      <c r="J967" s="4">
        <v>0</v>
      </c>
      <c r="K967" s="4">
        <v>0</v>
      </c>
      <c r="L967" s="4">
        <v>0</v>
      </c>
      <c r="M967" s="4">
        <v>0</v>
      </c>
      <c r="N967" s="5">
        <v>0</v>
      </c>
      <c r="O967" s="5">
        <v>0</v>
      </c>
      <c r="P967" s="5">
        <v>5000</v>
      </c>
      <c r="Q967" s="5">
        <v>0</v>
      </c>
      <c r="R967" s="5">
        <v>0</v>
      </c>
      <c r="S967" s="5">
        <v>0</v>
      </c>
      <c r="T967" s="5">
        <f t="shared" si="107"/>
        <v>5000</v>
      </c>
      <c r="U967" s="5">
        <v>15000</v>
      </c>
      <c r="V967" s="5">
        <v>0</v>
      </c>
      <c r="W967" s="5">
        <v>0</v>
      </c>
      <c r="X967" s="5">
        <v>5000</v>
      </c>
      <c r="Y967" s="5">
        <v>25000</v>
      </c>
      <c r="Z967" s="5">
        <f t="shared" si="108"/>
        <v>25000</v>
      </c>
      <c r="AA967" s="20">
        <f t="shared" si="106"/>
        <v>0</v>
      </c>
    </row>
    <row r="968" spans="1:27" ht="12.75">
      <c r="A968" s="3" t="s">
        <v>1751</v>
      </c>
      <c r="B968" s="3" t="s">
        <v>898</v>
      </c>
      <c r="C968" s="3" t="s">
        <v>932</v>
      </c>
      <c r="D968" s="3" t="s">
        <v>1323</v>
      </c>
      <c r="E968" s="3" t="s">
        <v>3191</v>
      </c>
      <c r="F968" s="3" t="s">
        <v>1325</v>
      </c>
      <c r="G968" s="3" t="s">
        <v>1591</v>
      </c>
      <c r="H968" s="3" t="s">
        <v>1592</v>
      </c>
      <c r="I968" s="3" t="s">
        <v>1324</v>
      </c>
      <c r="J968" s="4">
        <v>0</v>
      </c>
      <c r="K968" s="4">
        <v>0</v>
      </c>
      <c r="L968" s="4">
        <v>0</v>
      </c>
      <c r="M968" s="4">
        <v>0</v>
      </c>
      <c r="N968" s="5">
        <v>0</v>
      </c>
      <c r="O968" s="5">
        <v>0</v>
      </c>
      <c r="P968" s="5">
        <v>0</v>
      </c>
      <c r="Q968" s="5">
        <v>0</v>
      </c>
      <c r="R968" s="5">
        <v>0</v>
      </c>
      <c r="S968" s="5">
        <v>0</v>
      </c>
      <c r="T968" s="5">
        <f t="shared" si="107"/>
        <v>0</v>
      </c>
      <c r="U968" s="5">
        <v>5000</v>
      </c>
      <c r="V968" s="5">
        <v>0</v>
      </c>
      <c r="W968" s="5">
        <v>0</v>
      </c>
      <c r="X968" s="5">
        <v>0</v>
      </c>
      <c r="Y968" s="5">
        <v>5000</v>
      </c>
      <c r="Z968" s="5">
        <f t="shared" si="108"/>
        <v>5000</v>
      </c>
      <c r="AA968" s="20">
        <f t="shared" si="106"/>
        <v>0</v>
      </c>
    </row>
    <row r="969" spans="1:27" ht="12.75">
      <c r="A969" s="3" t="s">
        <v>1584</v>
      </c>
      <c r="B969" s="3" t="s">
        <v>898</v>
      </c>
      <c r="C969" s="3" t="s">
        <v>932</v>
      </c>
      <c r="D969" s="3" t="s">
        <v>1326</v>
      </c>
      <c r="E969" s="3" t="s">
        <v>3191</v>
      </c>
      <c r="F969" s="3" t="s">
        <v>1328</v>
      </c>
      <c r="G969" s="3" t="s">
        <v>1591</v>
      </c>
      <c r="H969" s="3" t="s">
        <v>1592</v>
      </c>
      <c r="I969" s="3" t="s">
        <v>1327</v>
      </c>
      <c r="J969" s="4">
        <v>0</v>
      </c>
      <c r="K969" s="4">
        <v>0</v>
      </c>
      <c r="L969" s="4">
        <v>1</v>
      </c>
      <c r="M969" s="4">
        <v>0</v>
      </c>
      <c r="N969" s="5">
        <v>27576</v>
      </c>
      <c r="O969" s="5">
        <v>0</v>
      </c>
      <c r="P969" s="5">
        <v>23000</v>
      </c>
      <c r="Q969" s="5">
        <v>0</v>
      </c>
      <c r="R969" s="5">
        <v>6679</v>
      </c>
      <c r="S969" s="5">
        <v>38000</v>
      </c>
      <c r="T969" s="5">
        <f t="shared" si="107"/>
        <v>57255</v>
      </c>
      <c r="U969" s="5">
        <f>38000+48000</f>
        <v>86000</v>
      </c>
      <c r="V969" s="5">
        <v>0</v>
      </c>
      <c r="W969" s="5">
        <v>0</v>
      </c>
      <c r="X969" s="5">
        <v>4400</v>
      </c>
      <c r="Y969" s="5">
        <v>147655</v>
      </c>
      <c r="Z969" s="5">
        <f t="shared" si="108"/>
        <v>147655</v>
      </c>
      <c r="AA969" s="20">
        <f t="shared" si="106"/>
        <v>0</v>
      </c>
    </row>
    <row r="970" spans="1:27" ht="12.75">
      <c r="A970" s="3" t="s">
        <v>1964</v>
      </c>
      <c r="B970" s="3" t="s">
        <v>898</v>
      </c>
      <c r="C970" s="3" t="s">
        <v>932</v>
      </c>
      <c r="D970" s="3" t="s">
        <v>1329</v>
      </c>
      <c r="E970" s="3" t="s">
        <v>3191</v>
      </c>
      <c r="F970" s="3" t="s">
        <v>1331</v>
      </c>
      <c r="G970" s="3" t="s">
        <v>1591</v>
      </c>
      <c r="H970" s="3" t="s">
        <v>1592</v>
      </c>
      <c r="I970" s="3" t="s">
        <v>1330</v>
      </c>
      <c r="J970" s="4">
        <v>0</v>
      </c>
      <c r="K970" s="4">
        <v>0</v>
      </c>
      <c r="L970" s="4">
        <v>0</v>
      </c>
      <c r="M970" s="4">
        <v>0</v>
      </c>
      <c r="N970" s="5">
        <v>0</v>
      </c>
      <c r="O970" s="5">
        <v>0</v>
      </c>
      <c r="P970" s="5">
        <v>0</v>
      </c>
      <c r="Q970" s="5">
        <v>0</v>
      </c>
      <c r="R970" s="5">
        <v>0</v>
      </c>
      <c r="S970" s="5">
        <v>0</v>
      </c>
      <c r="T970" s="5">
        <f t="shared" si="107"/>
        <v>0</v>
      </c>
      <c r="U970" s="5">
        <v>3750</v>
      </c>
      <c r="V970" s="5">
        <v>0</v>
      </c>
      <c r="W970" s="5">
        <v>0</v>
      </c>
      <c r="X970" s="5">
        <v>200</v>
      </c>
      <c r="Y970" s="5">
        <v>3950</v>
      </c>
      <c r="Z970" s="5">
        <f t="shared" si="108"/>
        <v>3950</v>
      </c>
      <c r="AA970" s="20">
        <f t="shared" si="106"/>
        <v>0</v>
      </c>
    </row>
    <row r="971" spans="1:27" ht="12.75">
      <c r="A971" s="3" t="s">
        <v>1968</v>
      </c>
      <c r="B971" s="3" t="s">
        <v>898</v>
      </c>
      <c r="C971" s="3" t="s">
        <v>932</v>
      </c>
      <c r="D971" s="3" t="s">
        <v>1332</v>
      </c>
      <c r="E971" s="3" t="s">
        <v>3191</v>
      </c>
      <c r="F971" s="3" t="s">
        <v>1334</v>
      </c>
      <c r="G971" s="3" t="s">
        <v>1591</v>
      </c>
      <c r="H971" s="3" t="s">
        <v>1592</v>
      </c>
      <c r="I971" s="3" t="s">
        <v>1333</v>
      </c>
      <c r="J971" s="4">
        <v>0</v>
      </c>
      <c r="K971" s="4">
        <v>0</v>
      </c>
      <c r="L971" s="4">
        <v>1.693</v>
      </c>
      <c r="M971" s="4">
        <v>1</v>
      </c>
      <c r="N971" s="5">
        <v>71588</v>
      </c>
      <c r="O971" s="5">
        <v>0</v>
      </c>
      <c r="P971" s="5">
        <v>25000</v>
      </c>
      <c r="Q971" s="5">
        <v>0</v>
      </c>
      <c r="R971" s="5">
        <v>4750</v>
      </c>
      <c r="S971" s="5">
        <v>0</v>
      </c>
      <c r="T971" s="5">
        <f t="shared" si="107"/>
        <v>101338</v>
      </c>
      <c r="U971" s="5">
        <v>100000</v>
      </c>
      <c r="V971" s="5">
        <v>0</v>
      </c>
      <c r="W971" s="5">
        <v>500</v>
      </c>
      <c r="X971" s="5">
        <v>0</v>
      </c>
      <c r="Y971" s="5">
        <v>201838</v>
      </c>
      <c r="Z971" s="5">
        <f t="shared" si="108"/>
        <v>201838</v>
      </c>
      <c r="AA971" s="20">
        <f t="shared" si="106"/>
        <v>0</v>
      </c>
    </row>
    <row r="972" spans="1:27" ht="12.75">
      <c r="A972" s="3" t="s">
        <v>1968</v>
      </c>
      <c r="B972" s="3" t="s">
        <v>898</v>
      </c>
      <c r="C972" s="3" t="s">
        <v>932</v>
      </c>
      <c r="D972" s="3" t="s">
        <v>1335</v>
      </c>
      <c r="E972" s="3" t="s">
        <v>3191</v>
      </c>
      <c r="F972" s="3" t="s">
        <v>1337</v>
      </c>
      <c r="G972" s="3" t="s">
        <v>1591</v>
      </c>
      <c r="H972" s="3" t="s">
        <v>1592</v>
      </c>
      <c r="I972" s="3" t="s">
        <v>1336</v>
      </c>
      <c r="J972" s="4">
        <v>0</v>
      </c>
      <c r="K972" s="4">
        <v>0</v>
      </c>
      <c r="L972" s="4">
        <v>0.5720000000000001</v>
      </c>
      <c r="M972" s="4">
        <v>0</v>
      </c>
      <c r="N972" s="5">
        <v>13796</v>
      </c>
      <c r="O972" s="5">
        <v>0</v>
      </c>
      <c r="P972" s="5">
        <v>0</v>
      </c>
      <c r="Q972" s="5">
        <v>0</v>
      </c>
      <c r="R972" s="5">
        <v>3192</v>
      </c>
      <c r="S972" s="5">
        <v>0</v>
      </c>
      <c r="T972" s="5">
        <f t="shared" si="107"/>
        <v>16988</v>
      </c>
      <c r="U972" s="5">
        <f>SUM(S972:S972)</f>
        <v>0</v>
      </c>
      <c r="V972" s="5">
        <v>0</v>
      </c>
      <c r="W972" s="5">
        <v>0</v>
      </c>
      <c r="X972" s="5">
        <v>0</v>
      </c>
      <c r="Y972" s="5">
        <v>16988</v>
      </c>
      <c r="Z972" s="5">
        <f t="shared" si="108"/>
        <v>16988</v>
      </c>
      <c r="AA972" s="20">
        <f t="shared" si="106"/>
        <v>0</v>
      </c>
    </row>
    <row r="973" spans="1:27" ht="12.75">
      <c r="A973" s="3" t="s">
        <v>1968</v>
      </c>
      <c r="B973" s="3" t="s">
        <v>898</v>
      </c>
      <c r="C973" s="3" t="s">
        <v>932</v>
      </c>
      <c r="D973" s="3" t="s">
        <v>1338</v>
      </c>
      <c r="E973" s="3" t="s">
        <v>3191</v>
      </c>
      <c r="F973" s="3" t="s">
        <v>1340</v>
      </c>
      <c r="G973" s="3" t="s">
        <v>1591</v>
      </c>
      <c r="H973" s="3" t="s">
        <v>1592</v>
      </c>
      <c r="I973" s="3" t="s">
        <v>661</v>
      </c>
      <c r="J973" s="4">
        <v>0</v>
      </c>
      <c r="K973" s="4">
        <v>0</v>
      </c>
      <c r="L973" s="4">
        <v>2</v>
      </c>
      <c r="M973" s="4">
        <v>0</v>
      </c>
      <c r="N973" s="5">
        <v>43824</v>
      </c>
      <c r="O973" s="5">
        <v>0</v>
      </c>
      <c r="P973" s="5">
        <v>0</v>
      </c>
      <c r="Q973" s="5">
        <v>0</v>
      </c>
      <c r="R973" s="5">
        <v>0</v>
      </c>
      <c r="S973" s="5">
        <v>0</v>
      </c>
      <c r="T973" s="5">
        <f t="shared" si="107"/>
        <v>43824</v>
      </c>
      <c r="U973" s="5">
        <f>SUM(S973:S973)</f>
        <v>0</v>
      </c>
      <c r="V973" s="5">
        <v>0</v>
      </c>
      <c r="W973" s="5">
        <v>0</v>
      </c>
      <c r="X973" s="5">
        <v>0</v>
      </c>
      <c r="Y973" s="5">
        <v>43824</v>
      </c>
      <c r="Z973" s="5">
        <f t="shared" si="108"/>
        <v>43824</v>
      </c>
      <c r="AA973" s="20">
        <f t="shared" si="106"/>
        <v>0</v>
      </c>
    </row>
    <row r="974" spans="1:27" ht="12.75">
      <c r="A974" s="3" t="s">
        <v>1842</v>
      </c>
      <c r="B974" s="3" t="s">
        <v>898</v>
      </c>
      <c r="C974" s="3" t="s">
        <v>932</v>
      </c>
      <c r="D974" s="3" t="s">
        <v>1341</v>
      </c>
      <c r="E974" s="3" t="s">
        <v>3191</v>
      </c>
      <c r="F974" s="3" t="s">
        <v>1343</v>
      </c>
      <c r="G974" s="3" t="s">
        <v>1591</v>
      </c>
      <c r="H974" s="3" t="s">
        <v>1592</v>
      </c>
      <c r="I974" s="3" t="s">
        <v>1342</v>
      </c>
      <c r="J974" s="4">
        <v>0</v>
      </c>
      <c r="K974" s="4">
        <v>1</v>
      </c>
      <c r="L974" s="4">
        <v>2</v>
      </c>
      <c r="M974" s="4">
        <v>0</v>
      </c>
      <c r="N974" s="5">
        <v>65916</v>
      </c>
      <c r="O974" s="5">
        <v>0</v>
      </c>
      <c r="P974" s="5">
        <v>0</v>
      </c>
      <c r="Q974" s="5">
        <v>0</v>
      </c>
      <c r="R974" s="5">
        <v>12408</v>
      </c>
      <c r="S974" s="5">
        <v>0</v>
      </c>
      <c r="T974" s="5">
        <f t="shared" si="107"/>
        <v>78324</v>
      </c>
      <c r="U974" s="5">
        <f>SUM(S974:S974)</f>
        <v>0</v>
      </c>
      <c r="V974" s="5">
        <v>0</v>
      </c>
      <c r="W974" s="5">
        <v>0</v>
      </c>
      <c r="X974" s="5">
        <v>0</v>
      </c>
      <c r="Y974" s="5">
        <v>78324</v>
      </c>
      <c r="Z974" s="5">
        <f t="shared" si="108"/>
        <v>78324</v>
      </c>
      <c r="AA974" s="20">
        <f t="shared" si="106"/>
        <v>0</v>
      </c>
    </row>
    <row r="975" spans="1:27" ht="12.75">
      <c r="A975" s="3" t="s">
        <v>1584</v>
      </c>
      <c r="B975" s="3" t="s">
        <v>898</v>
      </c>
      <c r="C975" s="3" t="s">
        <v>932</v>
      </c>
      <c r="D975" s="3" t="s">
        <v>1344</v>
      </c>
      <c r="E975" s="3" t="s">
        <v>1116</v>
      </c>
      <c r="F975" s="3" t="s">
        <v>1346</v>
      </c>
      <c r="G975" s="3" t="s">
        <v>1591</v>
      </c>
      <c r="H975" s="3" t="s">
        <v>1592</v>
      </c>
      <c r="I975" s="3" t="s">
        <v>1345</v>
      </c>
      <c r="J975" s="4">
        <v>0</v>
      </c>
      <c r="K975" s="4">
        <v>0</v>
      </c>
      <c r="L975" s="4">
        <v>0</v>
      </c>
      <c r="M975" s="4">
        <v>0</v>
      </c>
      <c r="N975" s="5">
        <v>0</v>
      </c>
      <c r="O975" s="5">
        <v>0</v>
      </c>
      <c r="P975" s="5">
        <v>41017</v>
      </c>
      <c r="Q975" s="5">
        <v>0</v>
      </c>
      <c r="R975" s="5">
        <v>3692</v>
      </c>
      <c r="S975" s="5">
        <v>0</v>
      </c>
      <c r="T975" s="5">
        <f t="shared" si="107"/>
        <v>44709</v>
      </c>
      <c r="U975" s="5">
        <v>5195</v>
      </c>
      <c r="V975" s="5">
        <v>0</v>
      </c>
      <c r="W975" s="5">
        <v>0</v>
      </c>
      <c r="X975" s="5">
        <v>0</v>
      </c>
      <c r="Y975" s="5">
        <v>49904</v>
      </c>
      <c r="Z975" s="5">
        <f t="shared" si="108"/>
        <v>49904</v>
      </c>
      <c r="AA975" s="20">
        <f t="shared" si="106"/>
        <v>0</v>
      </c>
    </row>
    <row r="976" spans="1:27" ht="12.75">
      <c r="A976" s="3" t="s">
        <v>2698</v>
      </c>
      <c r="B976" s="3" t="s">
        <v>1461</v>
      </c>
      <c r="C976" s="3" t="s">
        <v>1462</v>
      </c>
      <c r="D976" s="3" t="s">
        <v>1475</v>
      </c>
      <c r="E976" s="3" t="s">
        <v>1356</v>
      </c>
      <c r="F976" s="3" t="s">
        <v>1477</v>
      </c>
      <c r="G976" s="3" t="s">
        <v>1591</v>
      </c>
      <c r="H976" s="3" t="s">
        <v>1592</v>
      </c>
      <c r="I976" s="3" t="s">
        <v>662</v>
      </c>
      <c r="J976" s="4">
        <v>0</v>
      </c>
      <c r="K976" s="4">
        <v>0</v>
      </c>
      <c r="L976" s="4">
        <v>0.02</v>
      </c>
      <c r="M976" s="4">
        <v>0</v>
      </c>
      <c r="N976" s="5">
        <v>840</v>
      </c>
      <c r="O976" s="5">
        <v>5000</v>
      </c>
      <c r="P976" s="5">
        <v>12134</v>
      </c>
      <c r="Q976" s="5">
        <v>0</v>
      </c>
      <c r="R976" s="5">
        <v>5529</v>
      </c>
      <c r="S976" s="5">
        <v>0</v>
      </c>
      <c r="T976" s="5">
        <f t="shared" si="107"/>
        <v>23503</v>
      </c>
      <c r="U976" s="5">
        <v>60181</v>
      </c>
      <c r="V976" s="5">
        <v>0</v>
      </c>
      <c r="W976" s="5">
        <v>0</v>
      </c>
      <c r="X976" s="5">
        <v>10000</v>
      </c>
      <c r="Y976" s="5">
        <v>93684</v>
      </c>
      <c r="Z976" s="5">
        <f t="shared" si="108"/>
        <v>93684</v>
      </c>
      <c r="AA976" s="20">
        <f t="shared" si="106"/>
        <v>0</v>
      </c>
    </row>
    <row r="977" spans="1:27" ht="12.75">
      <c r="A977" s="3" t="s">
        <v>2698</v>
      </c>
      <c r="B977" s="3" t="s">
        <v>1461</v>
      </c>
      <c r="C977" s="3" t="s">
        <v>1462</v>
      </c>
      <c r="D977" s="3" t="s">
        <v>1478</v>
      </c>
      <c r="E977" s="3" t="s">
        <v>1356</v>
      </c>
      <c r="F977" s="3" t="s">
        <v>1479</v>
      </c>
      <c r="G977" s="3" t="s">
        <v>1591</v>
      </c>
      <c r="H977" s="3" t="s">
        <v>1592</v>
      </c>
      <c r="I977" s="3" t="s">
        <v>2703</v>
      </c>
      <c r="J977" s="4">
        <v>0</v>
      </c>
      <c r="K977" s="4">
        <v>0</v>
      </c>
      <c r="L977" s="4">
        <v>0</v>
      </c>
      <c r="M977" s="4">
        <v>1</v>
      </c>
      <c r="N977" s="5">
        <v>31584</v>
      </c>
      <c r="O977" s="5">
        <v>0</v>
      </c>
      <c r="P977" s="5">
        <v>117130</v>
      </c>
      <c r="Q977" s="5">
        <v>0</v>
      </c>
      <c r="R977" s="5">
        <v>9297</v>
      </c>
      <c r="S977" s="5">
        <v>0</v>
      </c>
      <c r="T977" s="5">
        <f t="shared" si="107"/>
        <v>158011</v>
      </c>
      <c r="U977" s="5">
        <v>181000</v>
      </c>
      <c r="V977" s="5">
        <v>25884</v>
      </c>
      <c r="W977" s="5">
        <v>0</v>
      </c>
      <c r="X977" s="5">
        <v>8775</v>
      </c>
      <c r="Y977" s="5">
        <v>373670</v>
      </c>
      <c r="Z977" s="5">
        <f t="shared" si="108"/>
        <v>373670</v>
      </c>
      <c r="AA977" s="20">
        <f t="shared" si="106"/>
        <v>0</v>
      </c>
    </row>
    <row r="978" spans="1:27" ht="12.75">
      <c r="A978" s="3" t="s">
        <v>2698</v>
      </c>
      <c r="B978" s="3" t="s">
        <v>1461</v>
      </c>
      <c r="C978" s="3" t="s">
        <v>1462</v>
      </c>
      <c r="D978" s="3" t="s">
        <v>1480</v>
      </c>
      <c r="E978" s="3" t="s">
        <v>1356</v>
      </c>
      <c r="F978" s="3" t="s">
        <v>1481</v>
      </c>
      <c r="G978" s="3" t="s">
        <v>1591</v>
      </c>
      <c r="H978" s="3" t="s">
        <v>1592</v>
      </c>
      <c r="I978" s="3" t="s">
        <v>2736</v>
      </c>
      <c r="J978" s="4">
        <v>0</v>
      </c>
      <c r="K978" s="4">
        <v>0</v>
      </c>
      <c r="L978" s="4">
        <v>0</v>
      </c>
      <c r="M978" s="4">
        <v>0</v>
      </c>
      <c r="N978" s="5">
        <v>0</v>
      </c>
      <c r="O978" s="5">
        <v>0</v>
      </c>
      <c r="P978" s="5">
        <v>10000</v>
      </c>
      <c r="Q978" s="5">
        <v>0</v>
      </c>
      <c r="R978" s="5">
        <v>0</v>
      </c>
      <c r="S978" s="5">
        <v>0</v>
      </c>
      <c r="T978" s="5">
        <f t="shared" si="107"/>
        <v>10000</v>
      </c>
      <c r="U978" s="5">
        <v>173500</v>
      </c>
      <c r="V978" s="5">
        <v>38094</v>
      </c>
      <c r="W978" s="5">
        <v>0</v>
      </c>
      <c r="X978" s="5">
        <v>10000</v>
      </c>
      <c r="Y978" s="5">
        <v>231594</v>
      </c>
      <c r="Z978" s="5">
        <f t="shared" si="108"/>
        <v>231594</v>
      </c>
      <c r="AA978" s="20">
        <f t="shared" si="106"/>
        <v>0</v>
      </c>
    </row>
    <row r="979" spans="1:27" ht="12.75">
      <c r="A979" s="3" t="s">
        <v>2698</v>
      </c>
      <c r="B979" s="3" t="s">
        <v>1461</v>
      </c>
      <c r="C979" s="3" t="s">
        <v>1462</v>
      </c>
      <c r="D979" s="3" t="s">
        <v>1482</v>
      </c>
      <c r="E979" s="3" t="s">
        <v>1356</v>
      </c>
      <c r="F979" s="3" t="s">
        <v>1483</v>
      </c>
      <c r="G979" s="3" t="s">
        <v>1591</v>
      </c>
      <c r="H979" s="3" t="s">
        <v>1592</v>
      </c>
      <c r="I979" s="3" t="s">
        <v>2712</v>
      </c>
      <c r="J979" s="4">
        <v>0</v>
      </c>
      <c r="K979" s="4">
        <v>0</v>
      </c>
      <c r="L979" s="4">
        <v>0</v>
      </c>
      <c r="M979" s="4">
        <v>0</v>
      </c>
      <c r="N979" s="5">
        <v>0</v>
      </c>
      <c r="O979" s="5">
        <v>0</v>
      </c>
      <c r="P979" s="5">
        <v>0</v>
      </c>
      <c r="Q979" s="5">
        <v>0</v>
      </c>
      <c r="R979" s="5">
        <v>0</v>
      </c>
      <c r="S979" s="5">
        <v>0</v>
      </c>
      <c r="T979" s="5">
        <f t="shared" si="107"/>
        <v>0</v>
      </c>
      <c r="U979" s="5">
        <f>SUM(S979:S979)</f>
        <v>0</v>
      </c>
      <c r="V979" s="5">
        <v>2754</v>
      </c>
      <c r="W979" s="5">
        <v>0</v>
      </c>
      <c r="X979" s="5">
        <v>0</v>
      </c>
      <c r="Y979" s="5">
        <v>2754</v>
      </c>
      <c r="Z979" s="5">
        <f t="shared" si="108"/>
        <v>2754</v>
      </c>
      <c r="AA979" s="20">
        <f t="shared" si="106"/>
        <v>0</v>
      </c>
    </row>
    <row r="980" spans="1:27" ht="12.75">
      <c r="A980" s="3" t="s">
        <v>2698</v>
      </c>
      <c r="B980" s="3" t="s">
        <v>1461</v>
      </c>
      <c r="C980" s="3" t="s">
        <v>1462</v>
      </c>
      <c r="D980" s="3" t="s">
        <v>1484</v>
      </c>
      <c r="E980" s="3" t="s">
        <v>1356</v>
      </c>
      <c r="F980" s="3" t="s">
        <v>1485</v>
      </c>
      <c r="G980" s="3" t="s">
        <v>1591</v>
      </c>
      <c r="H980" s="3" t="s">
        <v>1592</v>
      </c>
      <c r="I980" s="3" t="s">
        <v>2751</v>
      </c>
      <c r="J980" s="4">
        <v>0</v>
      </c>
      <c r="K980" s="4">
        <v>0</v>
      </c>
      <c r="L980" s="4">
        <v>0</v>
      </c>
      <c r="M980" s="4">
        <v>1</v>
      </c>
      <c r="N980" s="5">
        <v>27000</v>
      </c>
      <c r="O980" s="5">
        <v>0</v>
      </c>
      <c r="P980" s="5">
        <v>0</v>
      </c>
      <c r="Q980" s="5">
        <v>0</v>
      </c>
      <c r="R980" s="5">
        <v>7504</v>
      </c>
      <c r="S980" s="5">
        <v>0</v>
      </c>
      <c r="T980" s="5">
        <f t="shared" si="107"/>
        <v>34504</v>
      </c>
      <c r="U980" s="5">
        <v>29175</v>
      </c>
      <c r="V980" s="5">
        <v>3408</v>
      </c>
      <c r="W980" s="5">
        <v>0</v>
      </c>
      <c r="X980" s="5">
        <v>0</v>
      </c>
      <c r="Y980" s="5">
        <v>67087</v>
      </c>
      <c r="Z980" s="5">
        <f t="shared" si="108"/>
        <v>67087</v>
      </c>
      <c r="AA980" s="20">
        <f aca="true" t="shared" si="109" ref="AA980:AA1044">+Y980-Z980</f>
        <v>0</v>
      </c>
    </row>
    <row r="981" spans="1:27" ht="12.75">
      <c r="A981" s="3" t="s">
        <v>2698</v>
      </c>
      <c r="B981" s="3" t="s">
        <v>1461</v>
      </c>
      <c r="C981" s="3" t="s">
        <v>1462</v>
      </c>
      <c r="D981" s="3" t="s">
        <v>1486</v>
      </c>
      <c r="E981" s="3" t="s">
        <v>1356</v>
      </c>
      <c r="F981" s="3" t="s">
        <v>1487</v>
      </c>
      <c r="G981" s="3" t="s">
        <v>1591</v>
      </c>
      <c r="H981" s="3" t="s">
        <v>1592</v>
      </c>
      <c r="I981" s="3" t="s">
        <v>2709</v>
      </c>
      <c r="J981" s="4">
        <v>0</v>
      </c>
      <c r="K981" s="4">
        <v>0</v>
      </c>
      <c r="L981" s="4">
        <v>1</v>
      </c>
      <c r="M981" s="4">
        <v>0.315</v>
      </c>
      <c r="N981" s="5">
        <v>38412</v>
      </c>
      <c r="O981" s="5">
        <v>5000</v>
      </c>
      <c r="P981" s="5">
        <v>114036</v>
      </c>
      <c r="Q981" s="5">
        <v>0</v>
      </c>
      <c r="R981" s="5">
        <v>12313</v>
      </c>
      <c r="S981" s="5">
        <v>0</v>
      </c>
      <c r="T981" s="5">
        <f t="shared" si="107"/>
        <v>169761</v>
      </c>
      <c r="U981" s="5">
        <v>196500</v>
      </c>
      <c r="V981" s="5">
        <v>187524</v>
      </c>
      <c r="W981" s="5">
        <v>0</v>
      </c>
      <c r="X981" s="5">
        <v>0</v>
      </c>
      <c r="Y981" s="5">
        <v>553785</v>
      </c>
      <c r="Z981" s="5">
        <f t="shared" si="108"/>
        <v>553785</v>
      </c>
      <c r="AA981" s="20">
        <f t="shared" si="109"/>
        <v>0</v>
      </c>
    </row>
    <row r="982" spans="1:27" ht="12.75">
      <c r="A982" s="3" t="s">
        <v>2698</v>
      </c>
      <c r="B982" s="3" t="s">
        <v>1461</v>
      </c>
      <c r="C982" s="3" t="s">
        <v>1462</v>
      </c>
      <c r="D982" s="3" t="s">
        <v>1488</v>
      </c>
      <c r="E982" s="3" t="s">
        <v>1356</v>
      </c>
      <c r="F982" s="3" t="s">
        <v>1489</v>
      </c>
      <c r="G982" s="3" t="s">
        <v>1591</v>
      </c>
      <c r="H982" s="3" t="s">
        <v>1592</v>
      </c>
      <c r="I982" s="3" t="s">
        <v>2718</v>
      </c>
      <c r="J982" s="4">
        <v>0</v>
      </c>
      <c r="K982" s="4">
        <v>0</v>
      </c>
      <c r="L982" s="4">
        <v>0</v>
      </c>
      <c r="M982" s="4">
        <v>0</v>
      </c>
      <c r="N982" s="5">
        <v>0</v>
      </c>
      <c r="O982" s="5">
        <v>0</v>
      </c>
      <c r="P982" s="5">
        <v>0</v>
      </c>
      <c r="Q982" s="5">
        <v>0</v>
      </c>
      <c r="R982" s="5">
        <v>0</v>
      </c>
      <c r="S982" s="5">
        <v>0</v>
      </c>
      <c r="T982" s="5">
        <f aca="true" t="shared" si="110" ref="T982:T1046">SUM(N982:R982)</f>
        <v>0</v>
      </c>
      <c r="U982" s="5">
        <v>12376</v>
      </c>
      <c r="V982" s="5">
        <v>3344</v>
      </c>
      <c r="W982" s="5">
        <v>0</v>
      </c>
      <c r="X982" s="5">
        <v>0</v>
      </c>
      <c r="Y982" s="5">
        <v>15720</v>
      </c>
      <c r="Z982" s="5">
        <f aca="true" t="shared" si="111" ref="Z982:Z1046">SUM(T982:X982)</f>
        <v>15720</v>
      </c>
      <c r="AA982" s="20">
        <f t="shared" si="109"/>
        <v>0</v>
      </c>
    </row>
    <row r="983" spans="1:27" ht="12.75">
      <c r="A983" s="3" t="s">
        <v>2698</v>
      </c>
      <c r="B983" s="3" t="s">
        <v>1461</v>
      </c>
      <c r="C983" s="3" t="s">
        <v>1462</v>
      </c>
      <c r="D983" s="3" t="s">
        <v>1490</v>
      </c>
      <c r="E983" s="3" t="s">
        <v>1356</v>
      </c>
      <c r="F983" s="3" t="s">
        <v>1491</v>
      </c>
      <c r="G983" s="3" t="s">
        <v>1591</v>
      </c>
      <c r="H983" s="3" t="s">
        <v>1592</v>
      </c>
      <c r="I983" s="3" t="s">
        <v>2739</v>
      </c>
      <c r="J983" s="4">
        <v>0</v>
      </c>
      <c r="K983" s="4">
        <v>0</v>
      </c>
      <c r="L983" s="4">
        <v>0</v>
      </c>
      <c r="M983" s="4">
        <v>0</v>
      </c>
      <c r="N983" s="5">
        <v>0</v>
      </c>
      <c r="O983" s="5">
        <v>0</v>
      </c>
      <c r="P983" s="5">
        <v>0</v>
      </c>
      <c r="Q983" s="5">
        <v>0</v>
      </c>
      <c r="R983" s="5">
        <v>0</v>
      </c>
      <c r="S983" s="5">
        <v>0</v>
      </c>
      <c r="T983" s="5">
        <f t="shared" si="110"/>
        <v>0</v>
      </c>
      <c r="U983" s="5">
        <v>25150</v>
      </c>
      <c r="V983" s="5">
        <v>7952</v>
      </c>
      <c r="W983" s="5">
        <v>0</v>
      </c>
      <c r="X983" s="5">
        <v>0</v>
      </c>
      <c r="Y983" s="5">
        <v>33102</v>
      </c>
      <c r="Z983" s="5">
        <f t="shared" si="111"/>
        <v>33102</v>
      </c>
      <c r="AA983" s="20">
        <f t="shared" si="109"/>
        <v>0</v>
      </c>
    </row>
    <row r="984" spans="1:27" ht="12.75">
      <c r="A984" s="3" t="s">
        <v>2698</v>
      </c>
      <c r="B984" s="3" t="s">
        <v>1461</v>
      </c>
      <c r="C984" s="3" t="s">
        <v>1462</v>
      </c>
      <c r="D984" s="3" t="s">
        <v>1492</v>
      </c>
      <c r="E984" s="3" t="s">
        <v>1356</v>
      </c>
      <c r="F984" s="3" t="s">
        <v>1493</v>
      </c>
      <c r="G984" s="3" t="s">
        <v>1591</v>
      </c>
      <c r="H984" s="3" t="s">
        <v>1592</v>
      </c>
      <c r="I984" s="3" t="s">
        <v>2745</v>
      </c>
      <c r="J984" s="4">
        <v>0</v>
      </c>
      <c r="K984" s="4">
        <v>0</v>
      </c>
      <c r="L984" s="4">
        <v>0</v>
      </c>
      <c r="M984" s="4">
        <v>0.5</v>
      </c>
      <c r="N984" s="5">
        <v>15000</v>
      </c>
      <c r="O984" s="5">
        <v>0</v>
      </c>
      <c r="P984" s="5">
        <v>0</v>
      </c>
      <c r="Q984" s="5">
        <v>0</v>
      </c>
      <c r="R984" s="5">
        <v>0</v>
      </c>
      <c r="S984" s="5">
        <v>0</v>
      </c>
      <c r="T984" s="5">
        <f t="shared" si="110"/>
        <v>15000</v>
      </c>
      <c r="U984" s="5">
        <v>72650</v>
      </c>
      <c r="V984" s="5">
        <v>19661</v>
      </c>
      <c r="W984" s="5">
        <v>0</v>
      </c>
      <c r="X984" s="5">
        <v>0</v>
      </c>
      <c r="Y984" s="5">
        <v>107311</v>
      </c>
      <c r="Z984" s="5">
        <f t="shared" si="111"/>
        <v>107311</v>
      </c>
      <c r="AA984" s="20">
        <f t="shared" si="109"/>
        <v>0</v>
      </c>
    </row>
    <row r="985" spans="1:27" ht="12.75">
      <c r="A985" s="3" t="s">
        <v>2698</v>
      </c>
      <c r="B985" s="3" t="s">
        <v>1461</v>
      </c>
      <c r="C985" s="3" t="s">
        <v>1462</v>
      </c>
      <c r="D985" s="3" t="s">
        <v>1494</v>
      </c>
      <c r="E985" s="3" t="s">
        <v>1356</v>
      </c>
      <c r="F985" s="3" t="s">
        <v>1495</v>
      </c>
      <c r="G985" s="3" t="s">
        <v>1591</v>
      </c>
      <c r="H985" s="3" t="s">
        <v>1592</v>
      </c>
      <c r="I985" s="3" t="s">
        <v>2742</v>
      </c>
      <c r="J985" s="4">
        <v>0</v>
      </c>
      <c r="K985" s="4">
        <v>0</v>
      </c>
      <c r="L985" s="4">
        <v>0</v>
      </c>
      <c r="M985" s="4">
        <v>1.5</v>
      </c>
      <c r="N985" s="5">
        <v>47892</v>
      </c>
      <c r="O985" s="5">
        <v>0</v>
      </c>
      <c r="P985" s="5">
        <v>0</v>
      </c>
      <c r="Q985" s="5">
        <v>0</v>
      </c>
      <c r="R985" s="5">
        <v>12652</v>
      </c>
      <c r="S985" s="5">
        <v>0</v>
      </c>
      <c r="T985" s="5">
        <f t="shared" si="110"/>
        <v>60544</v>
      </c>
      <c r="U985" s="5">
        <v>91650</v>
      </c>
      <c r="V985" s="5">
        <v>12224</v>
      </c>
      <c r="W985" s="5">
        <v>0</v>
      </c>
      <c r="X985" s="5">
        <v>4000</v>
      </c>
      <c r="Y985" s="5">
        <v>168418</v>
      </c>
      <c r="Z985" s="5">
        <f t="shared" si="111"/>
        <v>168418</v>
      </c>
      <c r="AA985" s="20">
        <f t="shared" si="109"/>
        <v>0</v>
      </c>
    </row>
    <row r="986" spans="1:27" ht="12.75">
      <c r="A986" s="3" t="s">
        <v>2698</v>
      </c>
      <c r="B986" s="3" t="s">
        <v>1461</v>
      </c>
      <c r="C986" s="3" t="s">
        <v>1462</v>
      </c>
      <c r="D986" s="3" t="s">
        <v>1496</v>
      </c>
      <c r="E986" s="3" t="s">
        <v>1356</v>
      </c>
      <c r="F986" s="3" t="s">
        <v>1498</v>
      </c>
      <c r="G986" s="3" t="s">
        <v>1591</v>
      </c>
      <c r="H986" s="3" t="s">
        <v>1592</v>
      </c>
      <c r="I986" s="3" t="s">
        <v>1497</v>
      </c>
      <c r="J986" s="4">
        <v>0</v>
      </c>
      <c r="K986" s="4">
        <v>0</v>
      </c>
      <c r="L986" s="4">
        <v>0</v>
      </c>
      <c r="M986" s="4">
        <v>0</v>
      </c>
      <c r="N986" s="5">
        <v>0</v>
      </c>
      <c r="O986" s="5">
        <v>0</v>
      </c>
      <c r="P986" s="5">
        <v>0</v>
      </c>
      <c r="Q986" s="5">
        <v>0</v>
      </c>
      <c r="R986" s="5">
        <v>0</v>
      </c>
      <c r="S986" s="5">
        <v>0</v>
      </c>
      <c r="T986" s="5">
        <f t="shared" si="110"/>
        <v>0</v>
      </c>
      <c r="U986" s="5">
        <v>99100</v>
      </c>
      <c r="V986" s="5">
        <v>22316</v>
      </c>
      <c r="W986" s="5">
        <v>0</v>
      </c>
      <c r="X986" s="5">
        <v>6000</v>
      </c>
      <c r="Y986" s="5">
        <v>127416</v>
      </c>
      <c r="Z986" s="5">
        <f t="shared" si="111"/>
        <v>127416</v>
      </c>
      <c r="AA986" s="20">
        <f t="shared" si="109"/>
        <v>0</v>
      </c>
    </row>
    <row r="987" spans="1:27" ht="12.75">
      <c r="A987" s="3" t="s">
        <v>2698</v>
      </c>
      <c r="B987" s="3" t="s">
        <v>1461</v>
      </c>
      <c r="C987" s="3" t="s">
        <v>1462</v>
      </c>
      <c r="D987" s="3" t="s">
        <v>1499</v>
      </c>
      <c r="E987" s="3" t="s">
        <v>1356</v>
      </c>
      <c r="F987" s="3" t="s">
        <v>1500</v>
      </c>
      <c r="G987" s="3" t="s">
        <v>1591</v>
      </c>
      <c r="H987" s="3" t="s">
        <v>1592</v>
      </c>
      <c r="I987" s="3" t="s">
        <v>2724</v>
      </c>
      <c r="J987" s="4">
        <v>0</v>
      </c>
      <c r="K987" s="4">
        <v>0</v>
      </c>
      <c r="L987" s="4">
        <v>0</v>
      </c>
      <c r="M987" s="4">
        <v>0</v>
      </c>
      <c r="N987" s="5">
        <v>0</v>
      </c>
      <c r="O987" s="5">
        <v>0</v>
      </c>
      <c r="P987" s="5">
        <v>12000</v>
      </c>
      <c r="Q987" s="5">
        <v>0</v>
      </c>
      <c r="R987" s="5">
        <v>0</v>
      </c>
      <c r="S987" s="5">
        <v>0</v>
      </c>
      <c r="T987" s="5">
        <f t="shared" si="110"/>
        <v>12000</v>
      </c>
      <c r="U987" s="5">
        <v>51905</v>
      </c>
      <c r="V987" s="5">
        <v>13828</v>
      </c>
      <c r="W987" s="5">
        <v>0</v>
      </c>
      <c r="X987" s="5">
        <v>0</v>
      </c>
      <c r="Y987" s="5">
        <v>77733</v>
      </c>
      <c r="Z987" s="5">
        <f t="shared" si="111"/>
        <v>77733</v>
      </c>
      <c r="AA987" s="20">
        <f t="shared" si="109"/>
        <v>0</v>
      </c>
    </row>
    <row r="988" spans="1:27" ht="12.75">
      <c r="A988" s="3" t="s">
        <v>2698</v>
      </c>
      <c r="B988" s="3" t="s">
        <v>1461</v>
      </c>
      <c r="C988" s="3" t="s">
        <v>1462</v>
      </c>
      <c r="D988" s="3" t="s">
        <v>1501</v>
      </c>
      <c r="E988" s="3" t="s">
        <v>1356</v>
      </c>
      <c r="F988" s="3" t="s">
        <v>1503</v>
      </c>
      <c r="G988" s="3" t="s">
        <v>1591</v>
      </c>
      <c r="H988" s="3" t="s">
        <v>1592</v>
      </c>
      <c r="I988" s="3" t="s">
        <v>1502</v>
      </c>
      <c r="J988" s="4">
        <v>0</v>
      </c>
      <c r="K988" s="4">
        <v>0</v>
      </c>
      <c r="L988" s="4">
        <v>0</v>
      </c>
      <c r="M988" s="4">
        <v>1</v>
      </c>
      <c r="N988" s="5">
        <v>31008</v>
      </c>
      <c r="O988" s="5">
        <v>0</v>
      </c>
      <c r="P988" s="5">
        <v>24000</v>
      </c>
      <c r="Q988" s="5">
        <v>0</v>
      </c>
      <c r="R988" s="5">
        <v>10096</v>
      </c>
      <c r="S988" s="5">
        <v>0</v>
      </c>
      <c r="T988" s="5">
        <f t="shared" si="110"/>
        <v>65104</v>
      </c>
      <c r="U988" s="5">
        <v>7500</v>
      </c>
      <c r="V988" s="5">
        <v>186450</v>
      </c>
      <c r="W988" s="5">
        <v>0</v>
      </c>
      <c r="X988" s="5">
        <v>1000</v>
      </c>
      <c r="Y988" s="5">
        <v>260054</v>
      </c>
      <c r="Z988" s="5">
        <f t="shared" si="111"/>
        <v>260054</v>
      </c>
      <c r="AA988" s="20">
        <f t="shared" si="109"/>
        <v>0</v>
      </c>
    </row>
    <row r="989" spans="1:27" ht="12.75">
      <c r="A989" s="3" t="s">
        <v>2698</v>
      </c>
      <c r="B989" s="3" t="s">
        <v>1461</v>
      </c>
      <c r="C989" s="3" t="s">
        <v>1462</v>
      </c>
      <c r="D989" s="3" t="s">
        <v>1504</v>
      </c>
      <c r="E989" s="3" t="s">
        <v>1356</v>
      </c>
      <c r="F989" s="3" t="s">
        <v>1506</v>
      </c>
      <c r="G989" s="3" t="s">
        <v>1591</v>
      </c>
      <c r="H989" s="3" t="s">
        <v>1592</v>
      </c>
      <c r="I989" s="3" t="s">
        <v>1505</v>
      </c>
      <c r="J989" s="4">
        <v>0</v>
      </c>
      <c r="K989" s="4">
        <v>0</v>
      </c>
      <c r="L989" s="4">
        <v>0</v>
      </c>
      <c r="M989" s="4">
        <v>2</v>
      </c>
      <c r="N989" s="5">
        <v>69240</v>
      </c>
      <c r="O989" s="5">
        <v>0</v>
      </c>
      <c r="P989" s="5">
        <v>30000</v>
      </c>
      <c r="Q989" s="5">
        <v>0</v>
      </c>
      <c r="R989" s="5">
        <v>26750</v>
      </c>
      <c r="S989" s="5">
        <v>0</v>
      </c>
      <c r="T989" s="5">
        <f t="shared" si="110"/>
        <v>125990</v>
      </c>
      <c r="U989" s="5">
        <v>26450</v>
      </c>
      <c r="V989" s="5">
        <v>12130</v>
      </c>
      <c r="W989" s="5">
        <v>0</v>
      </c>
      <c r="X989" s="5">
        <v>0</v>
      </c>
      <c r="Y989" s="5">
        <v>164570</v>
      </c>
      <c r="Z989" s="5">
        <f t="shared" si="111"/>
        <v>164570</v>
      </c>
      <c r="AA989" s="20">
        <f t="shared" si="109"/>
        <v>0</v>
      </c>
    </row>
    <row r="990" spans="1:27" ht="12.75">
      <c r="A990" s="3" t="s">
        <v>2698</v>
      </c>
      <c r="B990" s="3" t="s">
        <v>1461</v>
      </c>
      <c r="C990" s="3" t="s">
        <v>1462</v>
      </c>
      <c r="D990" s="3" t="s">
        <v>1507</v>
      </c>
      <c r="E990" s="3" t="s">
        <v>1356</v>
      </c>
      <c r="F990" s="3" t="s">
        <v>1509</v>
      </c>
      <c r="G990" s="3" t="s">
        <v>1591</v>
      </c>
      <c r="H990" s="3" t="s">
        <v>1592</v>
      </c>
      <c r="I990" s="3" t="s">
        <v>1508</v>
      </c>
      <c r="J990" s="4">
        <v>0</v>
      </c>
      <c r="K990" s="4">
        <v>0</v>
      </c>
      <c r="L990" s="4">
        <v>0</v>
      </c>
      <c r="M990" s="4">
        <v>0</v>
      </c>
      <c r="N990" s="5">
        <v>0</v>
      </c>
      <c r="O990" s="5">
        <v>0</v>
      </c>
      <c r="P990" s="5">
        <v>38745</v>
      </c>
      <c r="Q990" s="5">
        <v>0</v>
      </c>
      <c r="R990" s="5">
        <v>9145</v>
      </c>
      <c r="S990" s="5">
        <v>0</v>
      </c>
      <c r="T990" s="5">
        <f t="shared" si="110"/>
        <v>47890</v>
      </c>
      <c r="U990" s="5">
        <v>23590</v>
      </c>
      <c r="V990" s="5">
        <v>0</v>
      </c>
      <c r="W990" s="5">
        <v>0</v>
      </c>
      <c r="X990" s="5">
        <v>1000</v>
      </c>
      <c r="Y990" s="5">
        <v>72480</v>
      </c>
      <c r="Z990" s="5">
        <f t="shared" si="111"/>
        <v>72480</v>
      </c>
      <c r="AA990" s="20">
        <f t="shared" si="109"/>
        <v>0</v>
      </c>
    </row>
    <row r="991" spans="1:27" ht="12.75">
      <c r="A991" s="3" t="s">
        <v>2698</v>
      </c>
      <c r="B991" s="3" t="s">
        <v>1461</v>
      </c>
      <c r="C991" s="3" t="s">
        <v>1462</v>
      </c>
      <c r="D991" s="3" t="s">
        <v>1510</v>
      </c>
      <c r="E991" s="3" t="s">
        <v>1356</v>
      </c>
      <c r="F991" s="3" t="s">
        <v>1512</v>
      </c>
      <c r="G991" s="3" t="s">
        <v>1591</v>
      </c>
      <c r="H991" s="3" t="s">
        <v>1592</v>
      </c>
      <c r="I991" s="3" t="s">
        <v>1511</v>
      </c>
      <c r="J991" s="4">
        <v>0</v>
      </c>
      <c r="K991" s="4">
        <v>0</v>
      </c>
      <c r="L991" s="4">
        <v>0</v>
      </c>
      <c r="M991" s="4">
        <v>0</v>
      </c>
      <c r="N991" s="5">
        <v>0</v>
      </c>
      <c r="O991" s="5">
        <v>5000</v>
      </c>
      <c r="P991" s="5">
        <v>2750</v>
      </c>
      <c r="Q991" s="5">
        <v>0</v>
      </c>
      <c r="R991" s="5">
        <v>1155</v>
      </c>
      <c r="S991" s="5">
        <v>0</v>
      </c>
      <c r="T991" s="5">
        <f t="shared" si="110"/>
        <v>8905</v>
      </c>
      <c r="U991" s="5">
        <v>26950</v>
      </c>
      <c r="V991" s="5">
        <v>24260</v>
      </c>
      <c r="W991" s="5">
        <v>0</v>
      </c>
      <c r="X991" s="5">
        <v>0</v>
      </c>
      <c r="Y991" s="5">
        <v>60115</v>
      </c>
      <c r="Z991" s="5">
        <f t="shared" si="111"/>
        <v>60115</v>
      </c>
      <c r="AA991" s="20">
        <f t="shared" si="109"/>
        <v>0</v>
      </c>
    </row>
    <row r="992" spans="1:27" ht="12.75">
      <c r="A992" s="3" t="s">
        <v>2698</v>
      </c>
      <c r="B992" s="3" t="s">
        <v>1461</v>
      </c>
      <c r="C992" s="3" t="s">
        <v>1462</v>
      </c>
      <c r="D992" s="3" t="s">
        <v>1513</v>
      </c>
      <c r="E992" s="3" t="s">
        <v>1356</v>
      </c>
      <c r="F992" s="3" t="s">
        <v>1514</v>
      </c>
      <c r="G992" s="3" t="s">
        <v>1591</v>
      </c>
      <c r="H992" s="3" t="s">
        <v>1592</v>
      </c>
      <c r="I992" s="3" t="s">
        <v>2721</v>
      </c>
      <c r="J992" s="4">
        <v>0</v>
      </c>
      <c r="K992" s="4">
        <v>0</v>
      </c>
      <c r="L992" s="4">
        <v>0</v>
      </c>
      <c r="M992" s="4">
        <v>0</v>
      </c>
      <c r="N992" s="5">
        <v>0</v>
      </c>
      <c r="O992" s="5">
        <v>0</v>
      </c>
      <c r="P992" s="5">
        <v>0</v>
      </c>
      <c r="Q992" s="5">
        <v>0</v>
      </c>
      <c r="R992" s="5">
        <v>0</v>
      </c>
      <c r="S992" s="5">
        <v>0</v>
      </c>
      <c r="T992" s="5">
        <f t="shared" si="110"/>
        <v>0</v>
      </c>
      <c r="U992" s="5">
        <v>6500</v>
      </c>
      <c r="V992" s="5">
        <v>0</v>
      </c>
      <c r="W992" s="5">
        <v>0</v>
      </c>
      <c r="X992" s="5">
        <v>179600</v>
      </c>
      <c r="Y992" s="5">
        <v>186100</v>
      </c>
      <c r="Z992" s="5">
        <f t="shared" si="111"/>
        <v>186100</v>
      </c>
      <c r="AA992" s="20">
        <f t="shared" si="109"/>
        <v>0</v>
      </c>
    </row>
    <row r="993" spans="1:27" ht="12.75">
      <c r="A993" s="3" t="s">
        <v>2698</v>
      </c>
      <c r="B993" s="3" t="s">
        <v>1461</v>
      </c>
      <c r="C993" s="3" t="s">
        <v>1462</v>
      </c>
      <c r="D993" s="3" t="s">
        <v>1515</v>
      </c>
      <c r="E993" s="3" t="s">
        <v>1356</v>
      </c>
      <c r="F993" s="3" t="s">
        <v>1517</v>
      </c>
      <c r="G993" s="3" t="s">
        <v>1591</v>
      </c>
      <c r="H993" s="3" t="s">
        <v>1592</v>
      </c>
      <c r="I993" s="3" t="s">
        <v>1516</v>
      </c>
      <c r="J993" s="4">
        <v>0</v>
      </c>
      <c r="K993" s="4">
        <v>0</v>
      </c>
      <c r="L993" s="4">
        <v>0</v>
      </c>
      <c r="M993" s="4">
        <v>0</v>
      </c>
      <c r="N993" s="5">
        <v>0</v>
      </c>
      <c r="O993" s="5">
        <v>0</v>
      </c>
      <c r="P993" s="5">
        <v>0</v>
      </c>
      <c r="Q993" s="5">
        <v>0</v>
      </c>
      <c r="R993" s="5">
        <v>0</v>
      </c>
      <c r="S993" s="5">
        <v>0</v>
      </c>
      <c r="T993" s="5">
        <f t="shared" si="110"/>
        <v>0</v>
      </c>
      <c r="U993" s="5">
        <v>72610</v>
      </c>
      <c r="V993" s="5">
        <v>42380</v>
      </c>
      <c r="W993" s="5">
        <v>0</v>
      </c>
      <c r="X993" s="5">
        <v>0</v>
      </c>
      <c r="Y993" s="5">
        <v>114990</v>
      </c>
      <c r="Z993" s="5">
        <f t="shared" si="111"/>
        <v>114990</v>
      </c>
      <c r="AA993" s="20">
        <f t="shared" si="109"/>
        <v>0</v>
      </c>
    </row>
    <row r="994" spans="1:27" ht="12.75">
      <c r="A994" s="3" t="s">
        <v>2698</v>
      </c>
      <c r="B994" s="3" t="s">
        <v>1461</v>
      </c>
      <c r="C994" s="3" t="s">
        <v>1462</v>
      </c>
      <c r="D994" s="3" t="s">
        <v>1518</v>
      </c>
      <c r="E994" s="3" t="s">
        <v>1356</v>
      </c>
      <c r="F994" s="3" t="s">
        <v>1520</v>
      </c>
      <c r="G994" s="3" t="s">
        <v>1591</v>
      </c>
      <c r="H994" s="3" t="s">
        <v>1592</v>
      </c>
      <c r="I994" s="3" t="s">
        <v>1519</v>
      </c>
      <c r="J994" s="4">
        <v>0</v>
      </c>
      <c r="K994" s="4">
        <v>0</v>
      </c>
      <c r="L994" s="4">
        <v>1</v>
      </c>
      <c r="M994" s="4">
        <v>0</v>
      </c>
      <c r="N994" s="5">
        <v>20004</v>
      </c>
      <c r="O994" s="5">
        <v>0</v>
      </c>
      <c r="P994" s="5">
        <v>59000</v>
      </c>
      <c r="Q994" s="5">
        <v>0</v>
      </c>
      <c r="R994" s="5">
        <v>10694</v>
      </c>
      <c r="S994" s="5">
        <v>0</v>
      </c>
      <c r="T994" s="5">
        <f t="shared" si="110"/>
        <v>89698</v>
      </c>
      <c r="U994" s="5">
        <v>138725</v>
      </c>
      <c r="V994" s="5">
        <v>0</v>
      </c>
      <c r="W994" s="5">
        <v>379900</v>
      </c>
      <c r="X994" s="5">
        <v>24000</v>
      </c>
      <c r="Y994" s="5">
        <v>632323</v>
      </c>
      <c r="Z994" s="5">
        <f t="shared" si="111"/>
        <v>632323</v>
      </c>
      <c r="AA994" s="20">
        <f t="shared" si="109"/>
        <v>0</v>
      </c>
    </row>
    <row r="995" spans="1:27" ht="12.75">
      <c r="A995" s="3" t="s">
        <v>2698</v>
      </c>
      <c r="B995" s="3" t="s">
        <v>1461</v>
      </c>
      <c r="C995" s="3" t="s">
        <v>1462</v>
      </c>
      <c r="D995" s="3" t="s">
        <v>1521</v>
      </c>
      <c r="E995" s="3" t="s">
        <v>1356</v>
      </c>
      <c r="F995" s="3" t="s">
        <v>1522</v>
      </c>
      <c r="G995" s="3" t="s">
        <v>1591</v>
      </c>
      <c r="H995" s="3" t="s">
        <v>1592</v>
      </c>
      <c r="I995" s="3" t="s">
        <v>3110</v>
      </c>
      <c r="J995" s="4">
        <v>0</v>
      </c>
      <c r="K995" s="4">
        <v>0</v>
      </c>
      <c r="L995" s="4">
        <v>0</v>
      </c>
      <c r="M995" s="4">
        <v>0</v>
      </c>
      <c r="N995" s="5">
        <v>0</v>
      </c>
      <c r="O995" s="5">
        <v>0</v>
      </c>
      <c r="P995" s="5">
        <v>5000</v>
      </c>
      <c r="Q995" s="5">
        <v>0</v>
      </c>
      <c r="R995" s="5">
        <v>383</v>
      </c>
      <c r="S995" s="5">
        <v>0</v>
      </c>
      <c r="T995" s="5">
        <f t="shared" si="110"/>
        <v>5383</v>
      </c>
      <c r="U995" s="5">
        <v>14484</v>
      </c>
      <c r="V995" s="5">
        <v>0</v>
      </c>
      <c r="W995" s="5">
        <v>0</v>
      </c>
      <c r="X995" s="5">
        <v>0</v>
      </c>
      <c r="Y995" s="5">
        <v>19867</v>
      </c>
      <c r="Z995" s="5">
        <f t="shared" si="111"/>
        <v>19867</v>
      </c>
      <c r="AA995" s="20">
        <f t="shared" si="109"/>
        <v>0</v>
      </c>
    </row>
    <row r="996" spans="1:27" ht="12.75">
      <c r="A996" s="3" t="s">
        <v>2912</v>
      </c>
      <c r="B996" s="3" t="s">
        <v>898</v>
      </c>
      <c r="C996" s="3" t="s">
        <v>932</v>
      </c>
      <c r="D996" s="3" t="s">
        <v>1347</v>
      </c>
      <c r="E996" s="3" t="s">
        <v>1349</v>
      </c>
      <c r="F996" s="3" t="s">
        <v>1350</v>
      </c>
      <c r="G996" s="3" t="s">
        <v>1591</v>
      </c>
      <c r="H996" s="3" t="s">
        <v>1592</v>
      </c>
      <c r="I996" s="3" t="s">
        <v>1348</v>
      </c>
      <c r="J996" s="4">
        <v>0</v>
      </c>
      <c r="K996" s="4">
        <v>0</v>
      </c>
      <c r="L996" s="4">
        <v>1</v>
      </c>
      <c r="M996" s="4">
        <v>0</v>
      </c>
      <c r="N996" s="5">
        <v>29160</v>
      </c>
      <c r="O996" s="5">
        <v>0</v>
      </c>
      <c r="P996" s="5">
        <v>500</v>
      </c>
      <c r="Q996" s="5">
        <v>0</v>
      </c>
      <c r="R996" s="5">
        <v>6980</v>
      </c>
      <c r="S996" s="5">
        <v>0</v>
      </c>
      <c r="T996" s="5">
        <f t="shared" si="110"/>
        <v>36640</v>
      </c>
      <c r="U996" s="5">
        <v>10075</v>
      </c>
      <c r="V996" s="5">
        <v>0</v>
      </c>
      <c r="W996" s="5">
        <v>0</v>
      </c>
      <c r="X996" s="5">
        <v>0</v>
      </c>
      <c r="Y996" s="5">
        <v>46715</v>
      </c>
      <c r="Z996" s="5">
        <f t="shared" si="111"/>
        <v>46715</v>
      </c>
      <c r="AA996" s="20">
        <f t="shared" si="109"/>
        <v>0</v>
      </c>
    </row>
    <row r="997" spans="1:27" ht="12.75">
      <c r="A997" s="3" t="s">
        <v>2698</v>
      </c>
      <c r="B997" s="3" t="s">
        <v>1461</v>
      </c>
      <c r="C997" s="3" t="s">
        <v>1462</v>
      </c>
      <c r="D997" s="3" t="s">
        <v>1523</v>
      </c>
      <c r="E997" s="3" t="s">
        <v>1356</v>
      </c>
      <c r="F997" s="3" t="s">
        <v>1524</v>
      </c>
      <c r="G997" s="3" t="s">
        <v>1591</v>
      </c>
      <c r="H997" s="3" t="s">
        <v>1592</v>
      </c>
      <c r="I997" s="3" t="s">
        <v>2817</v>
      </c>
      <c r="J997" s="4">
        <v>0</v>
      </c>
      <c r="K997" s="4">
        <v>0</v>
      </c>
      <c r="L997" s="4">
        <v>0</v>
      </c>
      <c r="M997" s="4">
        <v>0</v>
      </c>
      <c r="N997" s="5">
        <v>0</v>
      </c>
      <c r="O997" s="5">
        <v>0</v>
      </c>
      <c r="P997" s="5">
        <v>145494</v>
      </c>
      <c r="Q997" s="5">
        <v>0</v>
      </c>
      <c r="R997" s="5">
        <v>16908</v>
      </c>
      <c r="S997" s="5">
        <v>0</v>
      </c>
      <c r="T997" s="5">
        <f t="shared" si="110"/>
        <v>162402</v>
      </c>
      <c r="U997" s="5">
        <v>62932</v>
      </c>
      <c r="V997" s="5">
        <v>0</v>
      </c>
      <c r="W997" s="5">
        <v>0</v>
      </c>
      <c r="X997" s="5">
        <v>3000</v>
      </c>
      <c r="Y997" s="5">
        <v>228334</v>
      </c>
      <c r="Z997" s="5">
        <f t="shared" si="111"/>
        <v>228334</v>
      </c>
      <c r="AA997" s="20">
        <f t="shared" si="109"/>
        <v>0</v>
      </c>
    </row>
    <row r="998" spans="1:27" ht="12.75">
      <c r="A998" s="3" t="s">
        <v>2698</v>
      </c>
      <c r="B998" s="3" t="s">
        <v>1461</v>
      </c>
      <c r="C998" s="3" t="s">
        <v>1462</v>
      </c>
      <c r="D998" s="3" t="s">
        <v>1525</v>
      </c>
      <c r="E998" s="3" t="s">
        <v>1356</v>
      </c>
      <c r="F998" s="3" t="s">
        <v>1527</v>
      </c>
      <c r="G998" s="3" t="s">
        <v>1591</v>
      </c>
      <c r="H998" s="3" t="s">
        <v>1592</v>
      </c>
      <c r="I998" s="3" t="s">
        <v>1526</v>
      </c>
      <c r="J998" s="4">
        <v>0</v>
      </c>
      <c r="K998" s="4">
        <v>0</v>
      </c>
      <c r="L998" s="4">
        <v>1</v>
      </c>
      <c r="M998" s="4">
        <v>0</v>
      </c>
      <c r="N998" s="5">
        <v>29016</v>
      </c>
      <c r="O998" s="5">
        <v>0</v>
      </c>
      <c r="P998" s="5">
        <v>0</v>
      </c>
      <c r="Q998" s="5">
        <v>0</v>
      </c>
      <c r="R998" s="5">
        <v>7884</v>
      </c>
      <c r="S998" s="5">
        <v>0</v>
      </c>
      <c r="T998" s="5">
        <f t="shared" si="110"/>
        <v>36900</v>
      </c>
      <c r="U998" s="5">
        <v>137500</v>
      </c>
      <c r="V998" s="5">
        <v>12530</v>
      </c>
      <c r="W998" s="5">
        <v>257000</v>
      </c>
      <c r="X998" s="5">
        <v>61500</v>
      </c>
      <c r="Y998" s="5">
        <v>505430</v>
      </c>
      <c r="Z998" s="5">
        <f t="shared" si="111"/>
        <v>505430</v>
      </c>
      <c r="AA998" s="20">
        <f t="shared" si="109"/>
        <v>0</v>
      </c>
    </row>
    <row r="999" spans="1:27" ht="12.75">
      <c r="A999" s="3" t="s">
        <v>2698</v>
      </c>
      <c r="B999" s="3" t="s">
        <v>1461</v>
      </c>
      <c r="C999" s="3" t="s">
        <v>1462</v>
      </c>
      <c r="D999" s="3" t="s">
        <v>1528</v>
      </c>
      <c r="E999" s="3" t="s">
        <v>1356</v>
      </c>
      <c r="F999" s="3" t="s">
        <v>1530</v>
      </c>
      <c r="G999" s="3" t="s">
        <v>1591</v>
      </c>
      <c r="H999" s="3" t="s">
        <v>1592</v>
      </c>
      <c r="I999" s="3" t="s">
        <v>1529</v>
      </c>
      <c r="J999" s="4">
        <v>0</v>
      </c>
      <c r="K999" s="4">
        <v>0</v>
      </c>
      <c r="L999" s="4">
        <v>0</v>
      </c>
      <c r="M999" s="4">
        <v>0</v>
      </c>
      <c r="N999" s="5">
        <v>0</v>
      </c>
      <c r="O999" s="5">
        <v>0</v>
      </c>
      <c r="P999" s="5">
        <v>9325</v>
      </c>
      <c r="Q999" s="5">
        <v>0</v>
      </c>
      <c r="R999" s="5">
        <v>713</v>
      </c>
      <c r="S999" s="5">
        <v>0</v>
      </c>
      <c r="T999" s="5">
        <f t="shared" si="110"/>
        <v>10038</v>
      </c>
      <c r="U999" s="5">
        <v>2835</v>
      </c>
      <c r="V999" s="5">
        <v>0</v>
      </c>
      <c r="W999" s="5">
        <v>42000</v>
      </c>
      <c r="X999" s="5">
        <v>4000</v>
      </c>
      <c r="Y999" s="5">
        <v>58873</v>
      </c>
      <c r="Z999" s="5">
        <f t="shared" si="111"/>
        <v>58873</v>
      </c>
      <c r="AA999" s="20">
        <f t="shared" si="109"/>
        <v>0</v>
      </c>
    </row>
    <row r="1000" spans="1:27" ht="12.75">
      <c r="A1000" s="3" t="s">
        <v>1584</v>
      </c>
      <c r="B1000" s="3" t="s">
        <v>898</v>
      </c>
      <c r="C1000" s="3" t="s">
        <v>932</v>
      </c>
      <c r="D1000" s="3" t="s">
        <v>1351</v>
      </c>
      <c r="E1000" s="3" t="s">
        <v>3191</v>
      </c>
      <c r="F1000" s="3" t="s">
        <v>1353</v>
      </c>
      <c r="G1000" s="3" t="s">
        <v>1591</v>
      </c>
      <c r="H1000" s="3" t="s">
        <v>1592</v>
      </c>
      <c r="I1000" s="3" t="s">
        <v>1352</v>
      </c>
      <c r="J1000" s="4">
        <v>0</v>
      </c>
      <c r="K1000" s="4">
        <v>0</v>
      </c>
      <c r="L1000" s="4">
        <v>0</v>
      </c>
      <c r="M1000" s="4">
        <v>0</v>
      </c>
      <c r="N1000" s="5">
        <v>0</v>
      </c>
      <c r="O1000" s="5">
        <v>0</v>
      </c>
      <c r="P1000" s="5">
        <v>8000</v>
      </c>
      <c r="Q1000" s="5">
        <v>0</v>
      </c>
      <c r="R1000" s="5">
        <v>0</v>
      </c>
      <c r="S1000" s="5">
        <v>0</v>
      </c>
      <c r="T1000" s="5">
        <f t="shared" si="110"/>
        <v>8000</v>
      </c>
      <c r="U1000" s="5">
        <v>13500</v>
      </c>
      <c r="V1000" s="5">
        <v>0</v>
      </c>
      <c r="W1000" s="5">
        <v>0</v>
      </c>
      <c r="X1000" s="5">
        <v>0</v>
      </c>
      <c r="Y1000" s="5">
        <v>21500</v>
      </c>
      <c r="Z1000" s="5">
        <f t="shared" si="111"/>
        <v>21500</v>
      </c>
      <c r="AA1000" s="20">
        <f t="shared" si="109"/>
        <v>0</v>
      </c>
    </row>
    <row r="1001" spans="1:27" ht="12.75">
      <c r="A1001" s="3" t="s">
        <v>2698</v>
      </c>
      <c r="B1001" s="3" t="s">
        <v>898</v>
      </c>
      <c r="C1001" s="3" t="s">
        <v>932</v>
      </c>
      <c r="D1001" s="3" t="s">
        <v>1354</v>
      </c>
      <c r="E1001" s="3" t="s">
        <v>1356</v>
      </c>
      <c r="F1001" s="3" t="s">
        <v>1357</v>
      </c>
      <c r="G1001" s="3" t="s">
        <v>1591</v>
      </c>
      <c r="H1001" s="3" t="s">
        <v>1592</v>
      </c>
      <c r="I1001" s="3" t="s">
        <v>1355</v>
      </c>
      <c r="J1001" s="4">
        <v>0</v>
      </c>
      <c r="K1001" s="4">
        <v>0</v>
      </c>
      <c r="L1001" s="4">
        <v>0</v>
      </c>
      <c r="M1001" s="4">
        <v>0</v>
      </c>
      <c r="N1001" s="5">
        <v>0</v>
      </c>
      <c r="O1001" s="5">
        <v>0</v>
      </c>
      <c r="P1001" s="5">
        <v>0</v>
      </c>
      <c r="Q1001" s="5">
        <v>0</v>
      </c>
      <c r="R1001" s="5">
        <v>0</v>
      </c>
      <c r="S1001" s="5">
        <v>0</v>
      </c>
      <c r="T1001" s="5">
        <f t="shared" si="110"/>
        <v>0</v>
      </c>
      <c r="U1001" s="5">
        <v>51300</v>
      </c>
      <c r="V1001" s="5">
        <v>29606</v>
      </c>
      <c r="W1001" s="5">
        <v>0</v>
      </c>
      <c r="X1001" s="5">
        <v>700</v>
      </c>
      <c r="Y1001" s="5">
        <v>81606</v>
      </c>
      <c r="Z1001" s="5">
        <f t="shared" si="111"/>
        <v>81606</v>
      </c>
      <c r="AA1001" s="20">
        <f t="shared" si="109"/>
        <v>0</v>
      </c>
    </row>
    <row r="1002" spans="1:27" ht="12.75">
      <c r="A1002" s="3" t="s">
        <v>1842</v>
      </c>
      <c r="B1002" s="3" t="s">
        <v>898</v>
      </c>
      <c r="C1002" s="3" t="s">
        <v>932</v>
      </c>
      <c r="D1002" s="3" t="s">
        <v>1358</v>
      </c>
      <c r="E1002" s="3" t="s">
        <v>3191</v>
      </c>
      <c r="F1002" s="3" t="s">
        <v>1360</v>
      </c>
      <c r="G1002" s="3" t="s">
        <v>1591</v>
      </c>
      <c r="H1002" s="3" t="s">
        <v>1592</v>
      </c>
      <c r="I1002" s="3" t="s">
        <v>1359</v>
      </c>
      <c r="J1002" s="4">
        <v>0</v>
      </c>
      <c r="K1002" s="4">
        <v>0</v>
      </c>
      <c r="L1002" s="4">
        <v>1</v>
      </c>
      <c r="M1002" s="4">
        <v>0</v>
      </c>
      <c r="N1002" s="5">
        <v>28788</v>
      </c>
      <c r="O1002" s="5">
        <v>0</v>
      </c>
      <c r="P1002" s="5">
        <v>0</v>
      </c>
      <c r="Q1002" s="5">
        <v>0</v>
      </c>
      <c r="R1002" s="5">
        <v>0</v>
      </c>
      <c r="S1002" s="5">
        <v>0</v>
      </c>
      <c r="T1002" s="5">
        <f t="shared" si="110"/>
        <v>28788</v>
      </c>
      <c r="U1002" s="5">
        <f>SUM(S1002:S1002)</f>
        <v>0</v>
      </c>
      <c r="V1002" s="5">
        <v>0</v>
      </c>
      <c r="W1002" s="5">
        <v>0</v>
      </c>
      <c r="X1002" s="5">
        <v>0</v>
      </c>
      <c r="Y1002" s="5">
        <v>28788</v>
      </c>
      <c r="Z1002" s="5">
        <f t="shared" si="111"/>
        <v>28788</v>
      </c>
      <c r="AA1002" s="20">
        <f t="shared" si="109"/>
        <v>0</v>
      </c>
    </row>
    <row r="1003" spans="1:27" ht="12.75">
      <c r="A1003" s="3" t="s">
        <v>2595</v>
      </c>
      <c r="B1003" s="3" t="s">
        <v>898</v>
      </c>
      <c r="C1003" s="3" t="s">
        <v>932</v>
      </c>
      <c r="D1003" s="3" t="s">
        <v>1361</v>
      </c>
      <c r="E1003" s="3" t="s">
        <v>1363</v>
      </c>
      <c r="F1003" s="3" t="s">
        <v>1364</v>
      </c>
      <c r="G1003" s="3" t="s">
        <v>1591</v>
      </c>
      <c r="H1003" s="3" t="s">
        <v>1592</v>
      </c>
      <c r="I1003" s="3" t="s">
        <v>1362</v>
      </c>
      <c r="J1003" s="4">
        <v>0.5</v>
      </c>
      <c r="K1003" s="4">
        <v>0</v>
      </c>
      <c r="L1003" s="4">
        <v>15</v>
      </c>
      <c r="M1003" s="4">
        <v>0</v>
      </c>
      <c r="N1003" s="5">
        <v>488178</v>
      </c>
      <c r="O1003" s="5">
        <v>21000</v>
      </c>
      <c r="P1003" s="5">
        <v>70500</v>
      </c>
      <c r="Q1003" s="5">
        <v>0</v>
      </c>
      <c r="R1003" s="5">
        <v>126926</v>
      </c>
      <c r="S1003" s="5">
        <v>12000</v>
      </c>
      <c r="T1003" s="5">
        <f t="shared" si="110"/>
        <v>706604</v>
      </c>
      <c r="U1003" s="5">
        <f>12000+818000</f>
        <v>830000</v>
      </c>
      <c r="V1003" s="5">
        <v>0</v>
      </c>
      <c r="W1003" s="5">
        <v>0</v>
      </c>
      <c r="X1003" s="5">
        <v>54000</v>
      </c>
      <c r="Y1003" s="5">
        <v>1590604</v>
      </c>
      <c r="Z1003" s="5">
        <f t="shared" si="111"/>
        <v>1590604</v>
      </c>
      <c r="AA1003" s="20">
        <f t="shared" si="109"/>
        <v>0</v>
      </c>
    </row>
    <row r="1004" spans="1:27" ht="12.75">
      <c r="A1004" s="3" t="s">
        <v>2698</v>
      </c>
      <c r="B1004" s="3" t="s">
        <v>1461</v>
      </c>
      <c r="C1004" s="3" t="s">
        <v>1462</v>
      </c>
      <c r="D1004" s="3" t="s">
        <v>1531</v>
      </c>
      <c r="E1004" s="3" t="s">
        <v>1356</v>
      </c>
      <c r="F1004" s="3" t="s">
        <v>1532</v>
      </c>
      <c r="G1004" s="3" t="s">
        <v>1591</v>
      </c>
      <c r="H1004" s="3" t="s">
        <v>1592</v>
      </c>
      <c r="I1004" s="3" t="s">
        <v>2715</v>
      </c>
      <c r="J1004" s="4">
        <v>0</v>
      </c>
      <c r="K1004" s="4">
        <v>0</v>
      </c>
      <c r="L1004" s="4">
        <v>1</v>
      </c>
      <c r="M1004" s="4">
        <v>0</v>
      </c>
      <c r="N1004" s="5">
        <v>24000</v>
      </c>
      <c r="O1004" s="5">
        <v>0</v>
      </c>
      <c r="P1004" s="5">
        <v>24012</v>
      </c>
      <c r="Q1004" s="5">
        <v>0</v>
      </c>
      <c r="R1004" s="5">
        <v>8199</v>
      </c>
      <c r="S1004" s="5">
        <v>0</v>
      </c>
      <c r="T1004" s="5">
        <f t="shared" si="110"/>
        <v>56211</v>
      </c>
      <c r="U1004" s="5">
        <v>53750</v>
      </c>
      <c r="V1004" s="5">
        <v>12130</v>
      </c>
      <c r="W1004" s="5">
        <v>0</v>
      </c>
      <c r="X1004" s="5">
        <v>8400</v>
      </c>
      <c r="Y1004" s="5">
        <v>130491</v>
      </c>
      <c r="Z1004" s="5">
        <f t="shared" si="111"/>
        <v>130491</v>
      </c>
      <c r="AA1004" s="20">
        <f t="shared" si="109"/>
        <v>0</v>
      </c>
    </row>
    <row r="1005" spans="1:27" ht="12.75">
      <c r="A1005" s="3" t="s">
        <v>2912</v>
      </c>
      <c r="B1005" s="3" t="s">
        <v>898</v>
      </c>
      <c r="C1005" s="3" t="s">
        <v>932</v>
      </c>
      <c r="D1005" s="3" t="s">
        <v>1365</v>
      </c>
      <c r="E1005" s="3" t="s">
        <v>1123</v>
      </c>
      <c r="F1005" s="3" t="s">
        <v>1367</v>
      </c>
      <c r="G1005" s="3" t="s">
        <v>1591</v>
      </c>
      <c r="H1005" s="3" t="s">
        <v>1592</v>
      </c>
      <c r="I1005" s="3" t="s">
        <v>1366</v>
      </c>
      <c r="J1005" s="4">
        <v>0</v>
      </c>
      <c r="K1005" s="4">
        <v>0</v>
      </c>
      <c r="L1005" s="4">
        <v>1.65</v>
      </c>
      <c r="M1005" s="4">
        <v>0</v>
      </c>
      <c r="N1005" s="5">
        <v>40276</v>
      </c>
      <c r="O1005" s="5">
        <v>0</v>
      </c>
      <c r="P1005" s="5">
        <v>0</v>
      </c>
      <c r="Q1005" s="5">
        <v>0</v>
      </c>
      <c r="R1005" s="5">
        <v>0</v>
      </c>
      <c r="S1005" s="5">
        <v>0</v>
      </c>
      <c r="T1005" s="5">
        <f t="shared" si="110"/>
        <v>40276</v>
      </c>
      <c r="U1005" s="5">
        <f>SUM(S1005:S1005)</f>
        <v>0</v>
      </c>
      <c r="V1005" s="5">
        <v>0</v>
      </c>
      <c r="W1005" s="5">
        <v>0</v>
      </c>
      <c r="X1005" s="5">
        <v>0</v>
      </c>
      <c r="Y1005" s="5">
        <v>40276</v>
      </c>
      <c r="Z1005" s="5">
        <f t="shared" si="111"/>
        <v>40276</v>
      </c>
      <c r="AA1005" s="20">
        <f t="shared" si="109"/>
        <v>0</v>
      </c>
    </row>
    <row r="1006" spans="1:27" ht="12.75">
      <c r="A1006" s="3" t="s">
        <v>2698</v>
      </c>
      <c r="B1006" s="3" t="s">
        <v>1461</v>
      </c>
      <c r="C1006" s="3" t="s">
        <v>1462</v>
      </c>
      <c r="D1006" s="3" t="s">
        <v>1533</v>
      </c>
      <c r="E1006" s="3" t="s">
        <v>1356</v>
      </c>
      <c r="F1006" s="3" t="s">
        <v>1535</v>
      </c>
      <c r="G1006" s="3" t="s">
        <v>1591</v>
      </c>
      <c r="H1006" s="3" t="s">
        <v>1592</v>
      </c>
      <c r="I1006" s="3" t="s">
        <v>1534</v>
      </c>
      <c r="J1006" s="4">
        <v>0</v>
      </c>
      <c r="K1006" s="4">
        <v>0</v>
      </c>
      <c r="L1006" s="4">
        <v>0</v>
      </c>
      <c r="M1006" s="4">
        <v>0</v>
      </c>
      <c r="N1006" s="5">
        <v>0</v>
      </c>
      <c r="O1006" s="5">
        <v>0</v>
      </c>
      <c r="P1006" s="5">
        <v>49788</v>
      </c>
      <c r="Q1006" s="5">
        <v>0</v>
      </c>
      <c r="R1006" s="5">
        <v>3809</v>
      </c>
      <c r="S1006" s="5">
        <v>0</v>
      </c>
      <c r="T1006" s="5">
        <f t="shared" si="110"/>
        <v>53597</v>
      </c>
      <c r="U1006" s="5">
        <v>5025</v>
      </c>
      <c r="V1006" s="5">
        <v>0</v>
      </c>
      <c r="W1006" s="5">
        <v>0</v>
      </c>
      <c r="X1006" s="5">
        <v>25500</v>
      </c>
      <c r="Y1006" s="5">
        <v>84122</v>
      </c>
      <c r="Z1006" s="5">
        <f t="shared" si="111"/>
        <v>84122</v>
      </c>
      <c r="AA1006" s="20">
        <f t="shared" si="109"/>
        <v>0</v>
      </c>
    </row>
    <row r="1007" spans="1:27" ht="12.75">
      <c r="A1007" s="3" t="s">
        <v>1751</v>
      </c>
      <c r="B1007" s="3" t="s">
        <v>898</v>
      </c>
      <c r="C1007" s="3" t="s">
        <v>932</v>
      </c>
      <c r="D1007" s="3" t="s">
        <v>1368</v>
      </c>
      <c r="E1007" s="3" t="s">
        <v>3191</v>
      </c>
      <c r="F1007" s="3" t="s">
        <v>1370</v>
      </c>
      <c r="G1007" s="3" t="s">
        <v>1591</v>
      </c>
      <c r="H1007" s="3" t="s">
        <v>1592</v>
      </c>
      <c r="I1007" s="3" t="s">
        <v>1369</v>
      </c>
      <c r="J1007" s="4">
        <v>0</v>
      </c>
      <c r="K1007" s="4">
        <v>0</v>
      </c>
      <c r="L1007" s="4">
        <v>0</v>
      </c>
      <c r="M1007" s="4">
        <v>0</v>
      </c>
      <c r="N1007" s="5">
        <v>0</v>
      </c>
      <c r="O1007" s="5">
        <v>0</v>
      </c>
      <c r="P1007" s="5">
        <v>0</v>
      </c>
      <c r="Q1007" s="5">
        <v>0</v>
      </c>
      <c r="R1007" s="5">
        <v>0</v>
      </c>
      <c r="S1007" s="5">
        <v>0</v>
      </c>
      <c r="T1007" s="5">
        <f t="shared" si="110"/>
        <v>0</v>
      </c>
      <c r="U1007" s="5">
        <v>5500</v>
      </c>
      <c r="V1007" s="5">
        <v>0</v>
      </c>
      <c r="W1007" s="5">
        <v>0</v>
      </c>
      <c r="X1007" s="5">
        <v>0</v>
      </c>
      <c r="Y1007" s="5">
        <v>5500</v>
      </c>
      <c r="Z1007" s="5">
        <f t="shared" si="111"/>
        <v>5500</v>
      </c>
      <c r="AA1007" s="20">
        <f t="shared" si="109"/>
        <v>0</v>
      </c>
    </row>
    <row r="1008" spans="1:27" ht="12.75">
      <c r="A1008" s="3" t="s">
        <v>2698</v>
      </c>
      <c r="B1008" s="3" t="s">
        <v>1461</v>
      </c>
      <c r="C1008" s="3" t="s">
        <v>1462</v>
      </c>
      <c r="D1008" s="3" t="s">
        <v>1536</v>
      </c>
      <c r="E1008" s="3" t="s">
        <v>1356</v>
      </c>
      <c r="F1008" s="3" t="s">
        <v>1538</v>
      </c>
      <c r="G1008" s="3" t="s">
        <v>1591</v>
      </c>
      <c r="H1008" s="3" t="s">
        <v>1592</v>
      </c>
      <c r="I1008" s="3" t="s">
        <v>1537</v>
      </c>
      <c r="J1008" s="4">
        <v>0</v>
      </c>
      <c r="K1008" s="4">
        <v>0</v>
      </c>
      <c r="L1008" s="4">
        <v>0</v>
      </c>
      <c r="M1008" s="4">
        <v>0</v>
      </c>
      <c r="N1008" s="5">
        <v>0</v>
      </c>
      <c r="O1008" s="5">
        <v>0</v>
      </c>
      <c r="P1008" s="5">
        <v>0</v>
      </c>
      <c r="Q1008" s="5">
        <v>0</v>
      </c>
      <c r="R1008" s="5">
        <v>0</v>
      </c>
      <c r="S1008" s="5">
        <v>0</v>
      </c>
      <c r="T1008" s="5">
        <f t="shared" si="110"/>
        <v>0</v>
      </c>
      <c r="U1008" s="5">
        <v>23000</v>
      </c>
      <c r="V1008" s="5">
        <v>0</v>
      </c>
      <c r="W1008" s="5">
        <v>84920</v>
      </c>
      <c r="X1008" s="5">
        <v>0</v>
      </c>
      <c r="Y1008" s="5">
        <v>107920</v>
      </c>
      <c r="Z1008" s="5">
        <f t="shared" si="111"/>
        <v>107920</v>
      </c>
      <c r="AA1008" s="20">
        <f t="shared" si="109"/>
        <v>0</v>
      </c>
    </row>
    <row r="1009" spans="1:27" ht="12.75">
      <c r="A1009" s="3" t="s">
        <v>2698</v>
      </c>
      <c r="B1009" s="3" t="s">
        <v>1461</v>
      </c>
      <c r="C1009" s="3" t="s">
        <v>1462</v>
      </c>
      <c r="D1009" s="3" t="s">
        <v>1539</v>
      </c>
      <c r="E1009" s="3" t="s">
        <v>1356</v>
      </c>
      <c r="F1009" s="3" t="s">
        <v>1541</v>
      </c>
      <c r="G1009" s="3" t="s">
        <v>1591</v>
      </c>
      <c r="H1009" s="3" t="s">
        <v>1592</v>
      </c>
      <c r="I1009" s="3" t="s">
        <v>1540</v>
      </c>
      <c r="J1009" s="4">
        <v>0</v>
      </c>
      <c r="K1009" s="4">
        <v>0</v>
      </c>
      <c r="L1009" s="4">
        <v>0</v>
      </c>
      <c r="M1009" s="4">
        <v>0</v>
      </c>
      <c r="N1009" s="5">
        <v>0</v>
      </c>
      <c r="O1009" s="5">
        <v>0</v>
      </c>
      <c r="P1009" s="5">
        <v>0</v>
      </c>
      <c r="Q1009" s="5">
        <v>0</v>
      </c>
      <c r="R1009" s="5">
        <v>0</v>
      </c>
      <c r="S1009" s="5">
        <v>0</v>
      </c>
      <c r="T1009" s="5">
        <f t="shared" si="110"/>
        <v>0</v>
      </c>
      <c r="U1009" s="5">
        <v>142850</v>
      </c>
      <c r="V1009" s="5">
        <v>0</v>
      </c>
      <c r="W1009" s="5">
        <v>0</v>
      </c>
      <c r="X1009" s="5">
        <v>0</v>
      </c>
      <c r="Y1009" s="5">
        <v>142850</v>
      </c>
      <c r="Z1009" s="5">
        <f t="shared" si="111"/>
        <v>142850</v>
      </c>
      <c r="AA1009" s="20">
        <f t="shared" si="109"/>
        <v>0</v>
      </c>
    </row>
    <row r="1010" spans="1:27" ht="12.75">
      <c r="A1010" s="3" t="s">
        <v>2698</v>
      </c>
      <c r="B1010" s="3" t="s">
        <v>1461</v>
      </c>
      <c r="C1010" s="3" t="s">
        <v>1462</v>
      </c>
      <c r="D1010" s="3" t="s">
        <v>1542</v>
      </c>
      <c r="E1010" s="3" t="s">
        <v>1356</v>
      </c>
      <c r="F1010" s="3" t="s">
        <v>1544</v>
      </c>
      <c r="G1010" s="3" t="s">
        <v>1591</v>
      </c>
      <c r="H1010" s="3" t="s">
        <v>1592</v>
      </c>
      <c r="I1010" s="3" t="s">
        <v>1543</v>
      </c>
      <c r="J1010" s="4">
        <v>0</v>
      </c>
      <c r="K1010" s="4">
        <v>0</v>
      </c>
      <c r="L1010" s="4">
        <v>0</v>
      </c>
      <c r="M1010" s="4">
        <v>0</v>
      </c>
      <c r="N1010" s="5">
        <v>0</v>
      </c>
      <c r="O1010" s="5">
        <v>0</v>
      </c>
      <c r="P1010" s="5">
        <v>15000</v>
      </c>
      <c r="Q1010" s="5">
        <v>0</v>
      </c>
      <c r="R1010" s="5">
        <v>0</v>
      </c>
      <c r="S1010" s="5">
        <v>0</v>
      </c>
      <c r="T1010" s="5">
        <f t="shared" si="110"/>
        <v>15000</v>
      </c>
      <c r="U1010" s="5">
        <v>125000</v>
      </c>
      <c r="V1010" s="5">
        <v>0</v>
      </c>
      <c r="W1010" s="5">
        <v>305000</v>
      </c>
      <c r="X1010" s="5">
        <v>140000</v>
      </c>
      <c r="Y1010" s="5">
        <v>585000</v>
      </c>
      <c r="Z1010" s="5">
        <f t="shared" si="111"/>
        <v>585000</v>
      </c>
      <c r="AA1010" s="20">
        <f t="shared" si="109"/>
        <v>0</v>
      </c>
    </row>
    <row r="1011" spans="1:27" ht="12.75">
      <c r="A1011" s="3" t="s">
        <v>1968</v>
      </c>
      <c r="B1011" s="3" t="s">
        <v>898</v>
      </c>
      <c r="C1011" s="3" t="s">
        <v>932</v>
      </c>
      <c r="D1011" s="3" t="s">
        <v>1371</v>
      </c>
      <c r="E1011" s="3" t="s">
        <v>3191</v>
      </c>
      <c r="F1011" s="3" t="s">
        <v>1373</v>
      </c>
      <c r="G1011" s="3" t="s">
        <v>1591</v>
      </c>
      <c r="H1011" s="3" t="s">
        <v>1592</v>
      </c>
      <c r="I1011" s="3" t="s">
        <v>663</v>
      </c>
      <c r="J1011" s="4">
        <v>0</v>
      </c>
      <c r="K1011" s="4">
        <v>0</v>
      </c>
      <c r="L1011" s="4">
        <v>0</v>
      </c>
      <c r="M1011" s="4">
        <v>0</v>
      </c>
      <c r="N1011" s="5">
        <v>0</v>
      </c>
      <c r="O1011" s="5">
        <v>0</v>
      </c>
      <c r="P1011" s="5">
        <v>100000</v>
      </c>
      <c r="Q1011" s="5">
        <v>0</v>
      </c>
      <c r="R1011" s="5">
        <v>9000</v>
      </c>
      <c r="S1011" s="5">
        <v>0</v>
      </c>
      <c r="T1011" s="5">
        <f t="shared" si="110"/>
        <v>109000</v>
      </c>
      <c r="U1011" s="5">
        <v>80000</v>
      </c>
      <c r="V1011" s="5">
        <v>0</v>
      </c>
      <c r="W1011" s="5">
        <v>0</v>
      </c>
      <c r="X1011" s="5">
        <v>0</v>
      </c>
      <c r="Y1011" s="5">
        <v>189000</v>
      </c>
      <c r="Z1011" s="5">
        <f t="shared" si="111"/>
        <v>189000</v>
      </c>
      <c r="AA1011" s="20">
        <f t="shared" si="109"/>
        <v>0</v>
      </c>
    </row>
    <row r="1012" spans="1:27" ht="12.75">
      <c r="A1012" s="3" t="s">
        <v>2698</v>
      </c>
      <c r="B1012" s="3" t="s">
        <v>898</v>
      </c>
      <c r="C1012" s="3" t="s">
        <v>932</v>
      </c>
      <c r="D1012" s="3" t="s">
        <v>1374</v>
      </c>
      <c r="E1012" s="3" t="s">
        <v>1356</v>
      </c>
      <c r="F1012" s="3" t="s">
        <v>1376</v>
      </c>
      <c r="G1012" s="3" t="s">
        <v>1591</v>
      </c>
      <c r="H1012" s="3" t="s">
        <v>1592</v>
      </c>
      <c r="I1012" s="3" t="s">
        <v>1375</v>
      </c>
      <c r="J1012" s="4">
        <v>0</v>
      </c>
      <c r="K1012" s="4">
        <v>0</v>
      </c>
      <c r="L1012" s="4">
        <v>0</v>
      </c>
      <c r="M1012" s="4">
        <v>0</v>
      </c>
      <c r="N1012" s="5">
        <v>0</v>
      </c>
      <c r="O1012" s="5">
        <v>0</v>
      </c>
      <c r="P1012" s="5">
        <v>0</v>
      </c>
      <c r="Q1012" s="5">
        <v>0</v>
      </c>
      <c r="R1012" s="5">
        <v>0</v>
      </c>
      <c r="S1012" s="5">
        <v>0</v>
      </c>
      <c r="T1012" s="5">
        <f t="shared" si="110"/>
        <v>0</v>
      </c>
      <c r="U1012" s="5">
        <f>SUM(S1012:S1012)</f>
        <v>0</v>
      </c>
      <c r="V1012" s="5">
        <v>0</v>
      </c>
      <c r="W1012" s="5">
        <v>2823000</v>
      </c>
      <c r="X1012" s="5">
        <v>0</v>
      </c>
      <c r="Y1012" s="5">
        <v>2823000</v>
      </c>
      <c r="Z1012" s="5">
        <f t="shared" si="111"/>
        <v>2823000</v>
      </c>
      <c r="AA1012" s="20">
        <f t="shared" si="109"/>
        <v>0</v>
      </c>
    </row>
    <row r="1013" spans="1:27" ht="12.75">
      <c r="A1013" s="3" t="s">
        <v>2698</v>
      </c>
      <c r="B1013" s="3" t="s">
        <v>898</v>
      </c>
      <c r="C1013" s="3" t="s">
        <v>932</v>
      </c>
      <c r="D1013" s="3" t="s">
        <v>1377</v>
      </c>
      <c r="E1013" s="3" t="s">
        <v>1356</v>
      </c>
      <c r="F1013" s="3" t="s">
        <v>1379</v>
      </c>
      <c r="G1013" s="3" t="s">
        <v>1591</v>
      </c>
      <c r="H1013" s="3" t="s">
        <v>1592</v>
      </c>
      <c r="I1013" s="3" t="s">
        <v>1378</v>
      </c>
      <c r="J1013" s="4">
        <v>0</v>
      </c>
      <c r="K1013" s="4">
        <v>0</v>
      </c>
      <c r="L1013" s="4">
        <v>0</v>
      </c>
      <c r="M1013" s="4">
        <v>0</v>
      </c>
      <c r="N1013" s="5">
        <v>0</v>
      </c>
      <c r="O1013" s="5">
        <v>0</v>
      </c>
      <c r="P1013" s="5">
        <v>0</v>
      </c>
      <c r="Q1013" s="5">
        <v>0</v>
      </c>
      <c r="R1013" s="5">
        <v>0</v>
      </c>
      <c r="S1013" s="5">
        <v>0</v>
      </c>
      <c r="T1013" s="5">
        <f t="shared" si="110"/>
        <v>0</v>
      </c>
      <c r="U1013" s="5">
        <f>SUM(S1013:S1013)</f>
        <v>0</v>
      </c>
      <c r="V1013" s="5">
        <v>0</v>
      </c>
      <c r="W1013" s="5">
        <v>816000</v>
      </c>
      <c r="X1013" s="5">
        <v>0</v>
      </c>
      <c r="Y1013" s="5">
        <v>816000</v>
      </c>
      <c r="Z1013" s="5">
        <f t="shared" si="111"/>
        <v>816000</v>
      </c>
      <c r="AA1013" s="20">
        <f t="shared" si="109"/>
        <v>0</v>
      </c>
    </row>
    <row r="1014" spans="1:27" ht="12.75">
      <c r="A1014" s="3" t="s">
        <v>2698</v>
      </c>
      <c r="B1014" s="3" t="s">
        <v>898</v>
      </c>
      <c r="C1014" s="3" t="s">
        <v>932</v>
      </c>
      <c r="D1014" s="3" t="s">
        <v>1380</v>
      </c>
      <c r="E1014" s="3" t="s">
        <v>1356</v>
      </c>
      <c r="F1014" s="3" t="s">
        <v>1382</v>
      </c>
      <c r="G1014" s="3" t="s">
        <v>1591</v>
      </c>
      <c r="H1014" s="3" t="s">
        <v>1592</v>
      </c>
      <c r="I1014" s="3" t="s">
        <v>1381</v>
      </c>
      <c r="J1014" s="4">
        <v>0</v>
      </c>
      <c r="K1014" s="4">
        <v>0</v>
      </c>
      <c r="L1014" s="4">
        <v>0</v>
      </c>
      <c r="M1014" s="4">
        <v>0</v>
      </c>
      <c r="N1014" s="5">
        <v>0</v>
      </c>
      <c r="O1014" s="5">
        <v>0</v>
      </c>
      <c r="P1014" s="5">
        <v>0</v>
      </c>
      <c r="Q1014" s="5">
        <v>0</v>
      </c>
      <c r="R1014" s="5">
        <v>0</v>
      </c>
      <c r="S1014" s="5">
        <v>0</v>
      </c>
      <c r="T1014" s="5">
        <f t="shared" si="110"/>
        <v>0</v>
      </c>
      <c r="U1014" s="5">
        <f>SUM(S1014:S1014)</f>
        <v>0</v>
      </c>
      <c r="V1014" s="5">
        <v>0</v>
      </c>
      <c r="W1014" s="5">
        <v>17000</v>
      </c>
      <c r="X1014" s="5">
        <v>0</v>
      </c>
      <c r="Y1014" s="5">
        <v>17000</v>
      </c>
      <c r="Z1014" s="5">
        <f t="shared" si="111"/>
        <v>17000</v>
      </c>
      <c r="AA1014" s="20">
        <f t="shared" si="109"/>
        <v>0</v>
      </c>
    </row>
    <row r="1015" spans="1:27" ht="12.75">
      <c r="A1015" s="3" t="s">
        <v>2698</v>
      </c>
      <c r="B1015" s="3" t="s">
        <v>898</v>
      </c>
      <c r="C1015" s="3" t="s">
        <v>932</v>
      </c>
      <c r="D1015" s="3" t="s">
        <v>1383</v>
      </c>
      <c r="E1015" s="3" t="s">
        <v>1356</v>
      </c>
      <c r="F1015" s="3" t="s">
        <v>1385</v>
      </c>
      <c r="G1015" s="3" t="s">
        <v>1591</v>
      </c>
      <c r="H1015" s="3" t="s">
        <v>1592</v>
      </c>
      <c r="I1015" s="3" t="s">
        <v>664</v>
      </c>
      <c r="J1015" s="4">
        <v>0</v>
      </c>
      <c r="K1015" s="4">
        <v>0</v>
      </c>
      <c r="L1015" s="4">
        <v>0</v>
      </c>
      <c r="M1015" s="4">
        <v>0</v>
      </c>
      <c r="N1015" s="5">
        <v>0</v>
      </c>
      <c r="O1015" s="5">
        <v>0</v>
      </c>
      <c r="P1015" s="5">
        <v>10000</v>
      </c>
      <c r="Q1015" s="5">
        <v>0</v>
      </c>
      <c r="R1015" s="5">
        <v>0</v>
      </c>
      <c r="S1015" s="5">
        <v>0</v>
      </c>
      <c r="T1015" s="5">
        <f t="shared" si="110"/>
        <v>10000</v>
      </c>
      <c r="U1015" s="5">
        <v>40000</v>
      </c>
      <c r="V1015" s="5">
        <v>0</v>
      </c>
      <c r="W1015" s="5">
        <v>623000</v>
      </c>
      <c r="X1015" s="5">
        <v>25000</v>
      </c>
      <c r="Y1015" s="5">
        <v>698000</v>
      </c>
      <c r="Z1015" s="5">
        <f t="shared" si="111"/>
        <v>698000</v>
      </c>
      <c r="AA1015" s="20">
        <f t="shared" si="109"/>
        <v>0</v>
      </c>
    </row>
    <row r="1016" spans="1:27" ht="12.75">
      <c r="A1016" s="3" t="s">
        <v>1699</v>
      </c>
      <c r="B1016" s="3" t="s">
        <v>898</v>
      </c>
      <c r="C1016" s="3" t="s">
        <v>932</v>
      </c>
      <c r="D1016" s="3" t="s">
        <v>1386</v>
      </c>
      <c r="E1016" s="3" t="s">
        <v>3191</v>
      </c>
      <c r="F1016" s="3" t="s">
        <v>1388</v>
      </c>
      <c r="G1016" s="3" t="s">
        <v>1591</v>
      </c>
      <c r="H1016" s="3" t="s">
        <v>1592</v>
      </c>
      <c r="I1016" s="3" t="s">
        <v>1387</v>
      </c>
      <c r="J1016" s="4">
        <v>0</v>
      </c>
      <c r="K1016" s="4">
        <v>0</v>
      </c>
      <c r="L1016" s="4">
        <v>0</v>
      </c>
      <c r="M1016" s="4">
        <v>0</v>
      </c>
      <c r="N1016" s="5">
        <v>0</v>
      </c>
      <c r="O1016" s="5">
        <v>0</v>
      </c>
      <c r="P1016" s="5">
        <v>1300</v>
      </c>
      <c r="Q1016" s="5">
        <v>0</v>
      </c>
      <c r="R1016" s="5">
        <v>0</v>
      </c>
      <c r="S1016" s="5">
        <v>150</v>
      </c>
      <c r="T1016" s="5">
        <f t="shared" si="110"/>
        <v>1300</v>
      </c>
      <c r="U1016" s="5">
        <f>150+2250</f>
        <v>2400</v>
      </c>
      <c r="V1016" s="5">
        <v>0</v>
      </c>
      <c r="W1016" s="5">
        <v>0</v>
      </c>
      <c r="X1016" s="5">
        <v>1100</v>
      </c>
      <c r="Y1016" s="5">
        <v>4800</v>
      </c>
      <c r="Z1016" s="5">
        <f t="shared" si="111"/>
        <v>4800</v>
      </c>
      <c r="AA1016" s="20">
        <f t="shared" si="109"/>
        <v>0</v>
      </c>
    </row>
    <row r="1017" spans="1:27" ht="12.75">
      <c r="A1017" s="3" t="s">
        <v>1936</v>
      </c>
      <c r="B1017" s="3" t="s">
        <v>898</v>
      </c>
      <c r="C1017" s="3" t="s">
        <v>932</v>
      </c>
      <c r="D1017" s="3" t="s">
        <v>1389</v>
      </c>
      <c r="E1017" s="3" t="s">
        <v>3191</v>
      </c>
      <c r="F1017" s="3" t="s">
        <v>1391</v>
      </c>
      <c r="G1017" s="3" t="s">
        <v>1591</v>
      </c>
      <c r="H1017" s="3" t="s">
        <v>1592</v>
      </c>
      <c r="I1017" s="3" t="s">
        <v>2446</v>
      </c>
      <c r="J1017" s="4">
        <v>0</v>
      </c>
      <c r="K1017" s="4">
        <v>0</v>
      </c>
      <c r="L1017" s="4">
        <v>0</v>
      </c>
      <c r="M1017" s="4">
        <v>0</v>
      </c>
      <c r="N1017" s="5">
        <v>0</v>
      </c>
      <c r="O1017" s="5">
        <v>0</v>
      </c>
      <c r="P1017" s="5">
        <v>0</v>
      </c>
      <c r="Q1017" s="5">
        <v>0</v>
      </c>
      <c r="R1017" s="5">
        <v>0</v>
      </c>
      <c r="S1017" s="5">
        <v>400</v>
      </c>
      <c r="T1017" s="5">
        <f t="shared" si="110"/>
        <v>0</v>
      </c>
      <c r="U1017" s="5">
        <f>400+350</f>
        <v>750</v>
      </c>
      <c r="V1017" s="5">
        <v>0</v>
      </c>
      <c r="W1017" s="5">
        <v>0</v>
      </c>
      <c r="X1017" s="5">
        <v>0</v>
      </c>
      <c r="Y1017" s="5">
        <v>750</v>
      </c>
      <c r="Z1017" s="5">
        <f t="shared" si="111"/>
        <v>750</v>
      </c>
      <c r="AA1017" s="20">
        <f t="shared" si="109"/>
        <v>0</v>
      </c>
    </row>
    <row r="1018" spans="1:27" ht="12.75">
      <c r="A1018" s="3" t="s">
        <v>1751</v>
      </c>
      <c r="B1018" s="3" t="s">
        <v>898</v>
      </c>
      <c r="C1018" s="3" t="s">
        <v>932</v>
      </c>
      <c r="D1018" s="3" t="s">
        <v>1392</v>
      </c>
      <c r="E1018" s="3" t="s">
        <v>3191</v>
      </c>
      <c r="F1018" s="3" t="s">
        <v>1394</v>
      </c>
      <c r="G1018" s="3" t="s">
        <v>1591</v>
      </c>
      <c r="H1018" s="3" t="s">
        <v>1592</v>
      </c>
      <c r="I1018" s="3" t="s">
        <v>899</v>
      </c>
      <c r="J1018" s="4">
        <v>0</v>
      </c>
      <c r="K1018" s="4">
        <v>0</v>
      </c>
      <c r="L1018" s="4">
        <v>0</v>
      </c>
      <c r="M1018" s="4">
        <v>0</v>
      </c>
      <c r="N1018" s="5">
        <v>0</v>
      </c>
      <c r="O1018" s="5">
        <v>0</v>
      </c>
      <c r="P1018" s="5">
        <v>0</v>
      </c>
      <c r="Q1018" s="5">
        <v>0</v>
      </c>
      <c r="R1018" s="5">
        <v>0</v>
      </c>
      <c r="S1018" s="5">
        <v>0</v>
      </c>
      <c r="T1018" s="5">
        <f t="shared" si="110"/>
        <v>0</v>
      </c>
      <c r="U1018" s="5">
        <f>SUM(S1018:S1018)</f>
        <v>0</v>
      </c>
      <c r="V1018" s="5">
        <v>0</v>
      </c>
      <c r="W1018" s="5">
        <v>0</v>
      </c>
      <c r="X1018" s="5">
        <v>25000</v>
      </c>
      <c r="Y1018" s="5">
        <v>25000</v>
      </c>
      <c r="Z1018" s="5">
        <f t="shared" si="111"/>
        <v>25000</v>
      </c>
      <c r="AA1018" s="20">
        <f t="shared" si="109"/>
        <v>0</v>
      </c>
    </row>
    <row r="1019" spans="1:27" ht="12.75">
      <c r="A1019" s="3" t="s">
        <v>1842</v>
      </c>
      <c r="B1019" s="3" t="s">
        <v>898</v>
      </c>
      <c r="C1019" s="3" t="s">
        <v>932</v>
      </c>
      <c r="D1019" s="3" t="s">
        <v>1395</v>
      </c>
      <c r="E1019" s="3" t="s">
        <v>3191</v>
      </c>
      <c r="F1019" s="3" t="s">
        <v>1397</v>
      </c>
      <c r="G1019" s="3" t="s">
        <v>1591</v>
      </c>
      <c r="H1019" s="3" t="s">
        <v>1592</v>
      </c>
      <c r="I1019" s="3" t="s">
        <v>900</v>
      </c>
      <c r="J1019" s="4">
        <v>0</v>
      </c>
      <c r="K1019" s="4">
        <v>0</v>
      </c>
      <c r="L1019" s="4">
        <v>0.75</v>
      </c>
      <c r="M1019" s="4">
        <v>0</v>
      </c>
      <c r="N1019" s="5">
        <v>22158</v>
      </c>
      <c r="O1019" s="5">
        <v>0</v>
      </c>
      <c r="P1019" s="5">
        <v>0</v>
      </c>
      <c r="Q1019" s="5">
        <v>0</v>
      </c>
      <c r="R1019" s="5">
        <v>0</v>
      </c>
      <c r="S1019" s="5">
        <v>0</v>
      </c>
      <c r="T1019" s="5">
        <f t="shared" si="110"/>
        <v>22158</v>
      </c>
      <c r="U1019" s="5">
        <f>SUM(S1019:S1019)</f>
        <v>0</v>
      </c>
      <c r="V1019" s="5">
        <v>0</v>
      </c>
      <c r="W1019" s="5">
        <v>0</v>
      </c>
      <c r="X1019" s="5">
        <v>0</v>
      </c>
      <c r="Y1019" s="5">
        <v>22158</v>
      </c>
      <c r="Z1019" s="5">
        <f t="shared" si="111"/>
        <v>22158</v>
      </c>
      <c r="AA1019" s="20">
        <f t="shared" si="109"/>
        <v>0</v>
      </c>
    </row>
    <row r="1020" spans="1:27" ht="12.75">
      <c r="A1020" s="3" t="s">
        <v>1680</v>
      </c>
      <c r="B1020" s="3" t="s">
        <v>898</v>
      </c>
      <c r="C1020" s="3" t="s">
        <v>932</v>
      </c>
      <c r="D1020" s="3" t="s">
        <v>1398</v>
      </c>
      <c r="E1020" s="3" t="s">
        <v>3191</v>
      </c>
      <c r="F1020" s="3" t="s">
        <v>1400</v>
      </c>
      <c r="G1020" s="3" t="s">
        <v>1591</v>
      </c>
      <c r="H1020" s="3" t="s">
        <v>1592</v>
      </c>
      <c r="I1020" s="3" t="s">
        <v>1399</v>
      </c>
      <c r="J1020" s="4">
        <v>0</v>
      </c>
      <c r="K1020" s="4">
        <v>0</v>
      </c>
      <c r="L1020" s="4">
        <v>5</v>
      </c>
      <c r="M1020" s="4">
        <v>0</v>
      </c>
      <c r="N1020" s="5">
        <v>109836</v>
      </c>
      <c r="O1020" s="5">
        <v>0</v>
      </c>
      <c r="P1020" s="5">
        <v>0</v>
      </c>
      <c r="Q1020" s="5">
        <v>0</v>
      </c>
      <c r="R1020" s="5">
        <v>15909</v>
      </c>
      <c r="S1020" s="5">
        <v>0</v>
      </c>
      <c r="T1020" s="5">
        <f t="shared" si="110"/>
        <v>125745</v>
      </c>
      <c r="U1020" s="5">
        <f>SUM(S1020:S1020)</f>
        <v>0</v>
      </c>
      <c r="V1020" s="5">
        <v>0</v>
      </c>
      <c r="W1020" s="5">
        <v>0</v>
      </c>
      <c r="X1020" s="5">
        <v>0</v>
      </c>
      <c r="Y1020" s="5">
        <v>125745</v>
      </c>
      <c r="Z1020" s="5">
        <f t="shared" si="111"/>
        <v>125745</v>
      </c>
      <c r="AA1020" s="20">
        <f t="shared" si="109"/>
        <v>0</v>
      </c>
    </row>
    <row r="1021" spans="1:27" ht="12.75">
      <c r="A1021" s="3" t="s">
        <v>1699</v>
      </c>
      <c r="B1021" s="3" t="s">
        <v>898</v>
      </c>
      <c r="C1021" s="3" t="s">
        <v>932</v>
      </c>
      <c r="D1021" s="3" t="s">
        <v>1401</v>
      </c>
      <c r="E1021" s="3" t="s">
        <v>3191</v>
      </c>
      <c r="F1021" s="3" t="s">
        <v>1403</v>
      </c>
      <c r="G1021" s="3" t="s">
        <v>1591</v>
      </c>
      <c r="H1021" s="3" t="s">
        <v>1592</v>
      </c>
      <c r="I1021" s="3" t="s">
        <v>1402</v>
      </c>
      <c r="J1021" s="4">
        <v>0</v>
      </c>
      <c r="K1021" s="4">
        <v>0</v>
      </c>
      <c r="L1021" s="4">
        <v>0</v>
      </c>
      <c r="M1021" s="4">
        <v>0</v>
      </c>
      <c r="N1021" s="5">
        <v>0</v>
      </c>
      <c r="O1021" s="5">
        <v>0</v>
      </c>
      <c r="P1021" s="5">
        <v>500</v>
      </c>
      <c r="Q1021" s="5">
        <v>0</v>
      </c>
      <c r="R1021" s="5">
        <v>0</v>
      </c>
      <c r="S1021" s="5">
        <v>7000</v>
      </c>
      <c r="T1021" s="5">
        <f t="shared" si="110"/>
        <v>500</v>
      </c>
      <c r="U1021" s="5">
        <f>7000+30050</f>
        <v>37050</v>
      </c>
      <c r="V1021" s="5">
        <v>0</v>
      </c>
      <c r="W1021" s="5">
        <v>0</v>
      </c>
      <c r="X1021" s="5">
        <v>1800</v>
      </c>
      <c r="Y1021" s="5">
        <v>39350</v>
      </c>
      <c r="Z1021" s="5">
        <f t="shared" si="111"/>
        <v>39350</v>
      </c>
      <c r="AA1021" s="20">
        <f t="shared" si="109"/>
        <v>0</v>
      </c>
    </row>
    <row r="1022" spans="1:27" ht="12.75">
      <c r="A1022" s="3" t="s">
        <v>1908</v>
      </c>
      <c r="B1022" s="3" t="s">
        <v>898</v>
      </c>
      <c r="C1022" s="3" t="s">
        <v>932</v>
      </c>
      <c r="D1022" s="3" t="s">
        <v>1404</v>
      </c>
      <c r="E1022" s="3" t="s">
        <v>1406</v>
      </c>
      <c r="F1022" s="3" t="s">
        <v>1407</v>
      </c>
      <c r="G1022" s="3" t="s">
        <v>1591</v>
      </c>
      <c r="H1022" s="3" t="s">
        <v>1592</v>
      </c>
      <c r="I1022" s="3" t="s">
        <v>1405</v>
      </c>
      <c r="J1022" s="4">
        <v>0</v>
      </c>
      <c r="K1022" s="4">
        <v>0</v>
      </c>
      <c r="L1022" s="4">
        <v>1</v>
      </c>
      <c r="M1022" s="4">
        <v>0</v>
      </c>
      <c r="N1022" s="5">
        <v>27360</v>
      </c>
      <c r="O1022" s="5">
        <v>0</v>
      </c>
      <c r="P1022" s="5">
        <v>2500</v>
      </c>
      <c r="Q1022" s="5">
        <v>0</v>
      </c>
      <c r="R1022" s="5">
        <v>0</v>
      </c>
      <c r="S1022" s="5">
        <v>0</v>
      </c>
      <c r="T1022" s="5">
        <f t="shared" si="110"/>
        <v>29860</v>
      </c>
      <c r="U1022" s="5">
        <v>3000</v>
      </c>
      <c r="V1022" s="5">
        <v>0</v>
      </c>
      <c r="W1022" s="5">
        <v>0</v>
      </c>
      <c r="X1022" s="5">
        <v>0</v>
      </c>
      <c r="Y1022" s="5">
        <v>32860</v>
      </c>
      <c r="Z1022" s="5">
        <f t="shared" si="111"/>
        <v>32860</v>
      </c>
      <c r="AA1022" s="20">
        <f t="shared" si="109"/>
        <v>0</v>
      </c>
    </row>
    <row r="1023" spans="4:27" ht="12.75">
      <c r="D1023" s="19">
        <v>464360</v>
      </c>
      <c r="E1023" s="19">
        <v>1700</v>
      </c>
      <c r="F1023" s="19">
        <v>13550</v>
      </c>
      <c r="H1023" s="19">
        <v>2000</v>
      </c>
      <c r="I1023" s="3" t="s">
        <v>671</v>
      </c>
      <c r="J1023" s="4">
        <v>0</v>
      </c>
      <c r="K1023" s="4">
        <v>0</v>
      </c>
      <c r="L1023" s="4">
        <v>1</v>
      </c>
      <c r="M1023" s="4">
        <v>0</v>
      </c>
      <c r="N1023" s="5">
        <v>22560</v>
      </c>
      <c r="O1023" s="5">
        <v>0</v>
      </c>
      <c r="P1023" s="5">
        <v>0</v>
      </c>
      <c r="Q1023" s="5">
        <v>0</v>
      </c>
      <c r="R1023" s="5">
        <v>0</v>
      </c>
      <c r="S1023" s="5">
        <v>0</v>
      </c>
      <c r="T1023" s="5">
        <f t="shared" si="110"/>
        <v>22560</v>
      </c>
      <c r="U1023" s="5">
        <v>0</v>
      </c>
      <c r="V1023" s="5">
        <v>0</v>
      </c>
      <c r="W1023" s="5">
        <v>0</v>
      </c>
      <c r="X1023" s="5">
        <v>0</v>
      </c>
      <c r="Y1023" s="5"/>
      <c r="Z1023" s="5">
        <f t="shared" si="111"/>
        <v>22560</v>
      </c>
      <c r="AA1023" s="20"/>
    </row>
    <row r="1024" spans="1:27" ht="12.75">
      <c r="A1024" s="3" t="s">
        <v>2912</v>
      </c>
      <c r="B1024" s="3" t="s">
        <v>898</v>
      </c>
      <c r="C1024" s="3" t="s">
        <v>932</v>
      </c>
      <c r="D1024" s="3" t="s">
        <v>1408</v>
      </c>
      <c r="E1024" s="3" t="s">
        <v>1123</v>
      </c>
      <c r="F1024" s="3" t="s">
        <v>1410</v>
      </c>
      <c r="G1024" s="3" t="s">
        <v>1591</v>
      </c>
      <c r="H1024" s="3" t="s">
        <v>1592</v>
      </c>
      <c r="I1024" s="3" t="s">
        <v>1409</v>
      </c>
      <c r="J1024" s="4">
        <v>0</v>
      </c>
      <c r="K1024" s="4">
        <v>0</v>
      </c>
      <c r="L1024" s="4">
        <v>0.1</v>
      </c>
      <c r="M1024" s="4">
        <v>0</v>
      </c>
      <c r="N1024" s="5">
        <v>2975</v>
      </c>
      <c r="O1024" s="5">
        <v>0</v>
      </c>
      <c r="P1024" s="5">
        <v>0</v>
      </c>
      <c r="Q1024" s="5">
        <v>0</v>
      </c>
      <c r="R1024" s="5">
        <v>0</v>
      </c>
      <c r="S1024" s="5">
        <v>0</v>
      </c>
      <c r="T1024" s="5">
        <f t="shared" si="110"/>
        <v>2975</v>
      </c>
      <c r="U1024" s="5">
        <f>SUM(S1024:S1024)</f>
        <v>0</v>
      </c>
      <c r="V1024" s="5">
        <v>0</v>
      </c>
      <c r="W1024" s="5">
        <v>0</v>
      </c>
      <c r="X1024" s="5">
        <v>0</v>
      </c>
      <c r="Y1024" s="5">
        <v>2975</v>
      </c>
      <c r="Z1024" s="5">
        <f t="shared" si="111"/>
        <v>2975</v>
      </c>
      <c r="AA1024" s="20">
        <f t="shared" si="109"/>
        <v>0</v>
      </c>
    </row>
    <row r="1025" spans="1:27" ht="12.75">
      <c r="A1025" s="3" t="s">
        <v>1699</v>
      </c>
      <c r="B1025" s="3" t="s">
        <v>3187</v>
      </c>
      <c r="C1025" s="3" t="s">
        <v>3188</v>
      </c>
      <c r="D1025" s="3" t="s">
        <v>392</v>
      </c>
      <c r="E1025" s="3" t="s">
        <v>394</v>
      </c>
      <c r="F1025" s="3" t="s">
        <v>395</v>
      </c>
      <c r="G1025" s="3" t="s">
        <v>396</v>
      </c>
      <c r="H1025" s="3" t="s">
        <v>1592</v>
      </c>
      <c r="I1025" s="3" t="s">
        <v>393</v>
      </c>
      <c r="J1025" s="4">
        <v>0</v>
      </c>
      <c r="K1025" s="4">
        <v>0</v>
      </c>
      <c r="L1025" s="4">
        <v>0.124</v>
      </c>
      <c r="M1025" s="4">
        <v>0</v>
      </c>
      <c r="N1025" s="5">
        <v>3195</v>
      </c>
      <c r="O1025" s="5">
        <v>0</v>
      </c>
      <c r="P1025" s="5">
        <v>0</v>
      </c>
      <c r="Q1025" s="5">
        <v>0</v>
      </c>
      <c r="R1025" s="5">
        <v>0</v>
      </c>
      <c r="S1025" s="5">
        <v>0</v>
      </c>
      <c r="T1025" s="5">
        <f t="shared" si="110"/>
        <v>3195</v>
      </c>
      <c r="U1025" s="5">
        <v>18510</v>
      </c>
      <c r="V1025" s="5">
        <v>0</v>
      </c>
      <c r="W1025" s="5">
        <v>0</v>
      </c>
      <c r="X1025" s="5">
        <v>0</v>
      </c>
      <c r="Y1025" s="5">
        <v>21705</v>
      </c>
      <c r="Z1025" s="5">
        <f t="shared" si="111"/>
        <v>21705</v>
      </c>
      <c r="AA1025" s="20">
        <f t="shared" si="109"/>
        <v>0</v>
      </c>
    </row>
    <row r="1026" spans="1:27" ht="12.75">
      <c r="A1026" s="3" t="s">
        <v>1699</v>
      </c>
      <c r="B1026" s="3" t="s">
        <v>3187</v>
      </c>
      <c r="C1026" s="3" t="s">
        <v>3188</v>
      </c>
      <c r="D1026" s="3" t="s">
        <v>397</v>
      </c>
      <c r="E1026" s="3" t="s">
        <v>399</v>
      </c>
      <c r="F1026" s="3" t="s">
        <v>400</v>
      </c>
      <c r="G1026" s="3" t="s">
        <v>401</v>
      </c>
      <c r="H1026" s="3" t="s">
        <v>1592</v>
      </c>
      <c r="I1026" s="3" t="s">
        <v>398</v>
      </c>
      <c r="J1026" s="4">
        <v>0</v>
      </c>
      <c r="K1026" s="4">
        <v>0</v>
      </c>
      <c r="L1026" s="4">
        <v>0</v>
      </c>
      <c r="M1026" s="4">
        <v>0</v>
      </c>
      <c r="N1026" s="5">
        <v>0</v>
      </c>
      <c r="O1026" s="5">
        <v>0</v>
      </c>
      <c r="P1026" s="5">
        <v>0</v>
      </c>
      <c r="Q1026" s="5">
        <v>0</v>
      </c>
      <c r="R1026" s="5">
        <v>0</v>
      </c>
      <c r="S1026" s="5">
        <v>0</v>
      </c>
      <c r="T1026" s="5">
        <f t="shared" si="110"/>
        <v>0</v>
      </c>
      <c r="U1026" s="5">
        <v>123872</v>
      </c>
      <c r="V1026" s="5">
        <v>0</v>
      </c>
      <c r="W1026" s="5">
        <v>0</v>
      </c>
      <c r="X1026" s="5">
        <v>0</v>
      </c>
      <c r="Y1026" s="5">
        <v>123872</v>
      </c>
      <c r="Z1026" s="5">
        <f t="shared" si="111"/>
        <v>123872</v>
      </c>
      <c r="AA1026" s="20">
        <f t="shared" si="109"/>
        <v>0</v>
      </c>
    </row>
    <row r="1027" spans="1:27" ht="12.75">
      <c r="A1027" s="3" t="s">
        <v>1699</v>
      </c>
      <c r="B1027" s="3" t="s">
        <v>3187</v>
      </c>
      <c r="C1027" s="3" t="s">
        <v>3188</v>
      </c>
      <c r="D1027" s="3" t="s">
        <v>402</v>
      </c>
      <c r="E1027" s="3" t="s">
        <v>399</v>
      </c>
      <c r="F1027" s="3" t="s">
        <v>404</v>
      </c>
      <c r="G1027" s="3" t="s">
        <v>405</v>
      </c>
      <c r="H1027" s="3" t="s">
        <v>1592</v>
      </c>
      <c r="I1027" s="3" t="s">
        <v>403</v>
      </c>
      <c r="J1027" s="4">
        <v>0</v>
      </c>
      <c r="K1027" s="4">
        <v>0</v>
      </c>
      <c r="L1027" s="4">
        <v>0</v>
      </c>
      <c r="M1027" s="4">
        <v>0</v>
      </c>
      <c r="N1027" s="5">
        <v>0</v>
      </c>
      <c r="O1027" s="5">
        <v>0</v>
      </c>
      <c r="P1027" s="5">
        <v>0</v>
      </c>
      <c r="Q1027" s="5">
        <v>0</v>
      </c>
      <c r="R1027" s="5">
        <v>0</v>
      </c>
      <c r="S1027" s="5">
        <v>0</v>
      </c>
      <c r="T1027" s="5">
        <f t="shared" si="110"/>
        <v>0</v>
      </c>
      <c r="U1027" s="5">
        <v>37155</v>
      </c>
      <c r="V1027" s="5">
        <v>0</v>
      </c>
      <c r="W1027" s="5">
        <v>0</v>
      </c>
      <c r="X1027" s="5">
        <v>0</v>
      </c>
      <c r="Y1027" s="5">
        <v>37155</v>
      </c>
      <c r="Z1027" s="5">
        <f t="shared" si="111"/>
        <v>37155</v>
      </c>
      <c r="AA1027" s="20">
        <f t="shared" si="109"/>
        <v>0</v>
      </c>
    </row>
    <row r="1028" spans="1:27" ht="12.75">
      <c r="A1028" s="3" t="s">
        <v>1699</v>
      </c>
      <c r="B1028" s="3" t="s">
        <v>3187</v>
      </c>
      <c r="C1028" s="3" t="s">
        <v>3188</v>
      </c>
      <c r="D1028" s="3" t="s">
        <v>406</v>
      </c>
      <c r="E1028" s="3" t="s">
        <v>408</v>
      </c>
      <c r="F1028" s="3" t="s">
        <v>409</v>
      </c>
      <c r="G1028" s="3" t="s">
        <v>410</v>
      </c>
      <c r="H1028" s="3" t="s">
        <v>1592</v>
      </c>
      <c r="I1028" s="3" t="s">
        <v>407</v>
      </c>
      <c r="J1028" s="4">
        <v>0</v>
      </c>
      <c r="K1028" s="4">
        <v>0</v>
      </c>
      <c r="L1028" s="4">
        <v>0</v>
      </c>
      <c r="M1028" s="4">
        <v>0</v>
      </c>
      <c r="N1028" s="5">
        <v>0</v>
      </c>
      <c r="O1028" s="5">
        <v>0</v>
      </c>
      <c r="P1028" s="5">
        <v>0</v>
      </c>
      <c r="Q1028" s="5">
        <v>0</v>
      </c>
      <c r="R1028" s="5">
        <v>0</v>
      </c>
      <c r="S1028" s="5">
        <v>0</v>
      </c>
      <c r="T1028" s="5">
        <f t="shared" si="110"/>
        <v>0</v>
      </c>
      <c r="U1028" s="5">
        <v>21278</v>
      </c>
      <c r="V1028" s="5">
        <v>0</v>
      </c>
      <c r="W1028" s="5">
        <v>0</v>
      </c>
      <c r="X1028" s="5">
        <v>0</v>
      </c>
      <c r="Y1028" s="5">
        <v>21278</v>
      </c>
      <c r="Z1028" s="5">
        <f t="shared" si="111"/>
        <v>21278</v>
      </c>
      <c r="AA1028" s="20">
        <f t="shared" si="109"/>
        <v>0</v>
      </c>
    </row>
    <row r="1029" spans="1:27" ht="12.75">
      <c r="A1029" s="3" t="s">
        <v>1699</v>
      </c>
      <c r="B1029" s="3" t="s">
        <v>3187</v>
      </c>
      <c r="C1029" s="3" t="s">
        <v>3188</v>
      </c>
      <c r="D1029" s="3" t="s">
        <v>411</v>
      </c>
      <c r="E1029" s="3" t="s">
        <v>408</v>
      </c>
      <c r="F1029" s="3" t="s">
        <v>413</v>
      </c>
      <c r="G1029" s="3" t="s">
        <v>414</v>
      </c>
      <c r="H1029" s="3" t="s">
        <v>1592</v>
      </c>
      <c r="I1029" s="3" t="s">
        <v>412</v>
      </c>
      <c r="J1029" s="4">
        <v>0</v>
      </c>
      <c r="K1029" s="4">
        <v>0</v>
      </c>
      <c r="L1029" s="4">
        <v>0</v>
      </c>
      <c r="M1029" s="4">
        <v>0</v>
      </c>
      <c r="N1029" s="5">
        <v>0</v>
      </c>
      <c r="O1029" s="5">
        <v>0</v>
      </c>
      <c r="P1029" s="5">
        <v>0</v>
      </c>
      <c r="Q1029" s="5">
        <v>0</v>
      </c>
      <c r="R1029" s="5">
        <v>0</v>
      </c>
      <c r="S1029" s="5">
        <v>0</v>
      </c>
      <c r="T1029" s="5">
        <f t="shared" si="110"/>
        <v>0</v>
      </c>
      <c r="U1029" s="5">
        <v>7431</v>
      </c>
      <c r="V1029" s="5">
        <v>0</v>
      </c>
      <c r="W1029" s="5">
        <v>0</v>
      </c>
      <c r="X1029" s="5">
        <v>0</v>
      </c>
      <c r="Y1029" s="5">
        <v>7431</v>
      </c>
      <c r="Z1029" s="5">
        <f t="shared" si="111"/>
        <v>7431</v>
      </c>
      <c r="AA1029" s="20">
        <f t="shared" si="109"/>
        <v>0</v>
      </c>
    </row>
    <row r="1030" spans="1:27" ht="12.75">
      <c r="A1030" s="3" t="s">
        <v>1699</v>
      </c>
      <c r="B1030" s="3" t="s">
        <v>3187</v>
      </c>
      <c r="C1030" s="3" t="s">
        <v>3188</v>
      </c>
      <c r="D1030" s="3" t="s">
        <v>415</v>
      </c>
      <c r="E1030" s="3" t="s">
        <v>408</v>
      </c>
      <c r="F1030" s="3" t="s">
        <v>417</v>
      </c>
      <c r="G1030" s="3" t="s">
        <v>418</v>
      </c>
      <c r="H1030" s="3" t="s">
        <v>1592</v>
      </c>
      <c r="I1030" s="3" t="s">
        <v>416</v>
      </c>
      <c r="J1030" s="4">
        <v>0</v>
      </c>
      <c r="K1030" s="4">
        <v>0</v>
      </c>
      <c r="L1030" s="4">
        <v>0</v>
      </c>
      <c r="M1030" s="4">
        <v>0</v>
      </c>
      <c r="N1030" s="5">
        <v>0</v>
      </c>
      <c r="O1030" s="5">
        <v>0</v>
      </c>
      <c r="P1030" s="5">
        <v>0</v>
      </c>
      <c r="Q1030" s="5">
        <v>0</v>
      </c>
      <c r="R1030" s="5">
        <v>0</v>
      </c>
      <c r="S1030" s="5">
        <v>0</v>
      </c>
      <c r="T1030" s="5">
        <f t="shared" si="110"/>
        <v>0</v>
      </c>
      <c r="U1030" s="5">
        <v>7431</v>
      </c>
      <c r="V1030" s="5">
        <v>0</v>
      </c>
      <c r="W1030" s="5">
        <v>0</v>
      </c>
      <c r="X1030" s="5">
        <v>0</v>
      </c>
      <c r="Y1030" s="5">
        <v>7431</v>
      </c>
      <c r="Z1030" s="5">
        <f t="shared" si="111"/>
        <v>7431</v>
      </c>
      <c r="AA1030" s="20">
        <f t="shared" si="109"/>
        <v>0</v>
      </c>
    </row>
    <row r="1031" spans="1:27" ht="12.75">
      <c r="A1031" s="3" t="s">
        <v>1699</v>
      </c>
      <c r="B1031" s="3" t="s">
        <v>3187</v>
      </c>
      <c r="C1031" s="3" t="s">
        <v>3188</v>
      </c>
      <c r="D1031" s="3" t="s">
        <v>419</v>
      </c>
      <c r="E1031" s="3" t="s">
        <v>408</v>
      </c>
      <c r="F1031" s="3" t="s">
        <v>421</v>
      </c>
      <c r="G1031" s="3" t="s">
        <v>422</v>
      </c>
      <c r="H1031" s="3" t="s">
        <v>1592</v>
      </c>
      <c r="I1031" s="3" t="s">
        <v>420</v>
      </c>
      <c r="J1031" s="4">
        <v>0</v>
      </c>
      <c r="K1031" s="4">
        <v>0</v>
      </c>
      <c r="L1031" s="4">
        <v>0</v>
      </c>
      <c r="M1031" s="4">
        <v>0</v>
      </c>
      <c r="N1031" s="5">
        <v>0</v>
      </c>
      <c r="O1031" s="5">
        <v>0</v>
      </c>
      <c r="P1031" s="5">
        <v>0</v>
      </c>
      <c r="Q1031" s="5">
        <v>0</v>
      </c>
      <c r="R1031" s="5">
        <v>0</v>
      </c>
      <c r="S1031" s="5">
        <v>0</v>
      </c>
      <c r="T1031" s="5">
        <f t="shared" si="110"/>
        <v>0</v>
      </c>
      <c r="U1031" s="5">
        <v>14862</v>
      </c>
      <c r="V1031" s="5">
        <v>0</v>
      </c>
      <c r="W1031" s="5">
        <v>0</v>
      </c>
      <c r="X1031" s="5">
        <v>0</v>
      </c>
      <c r="Y1031" s="5">
        <v>14862</v>
      </c>
      <c r="Z1031" s="5">
        <f t="shared" si="111"/>
        <v>14862</v>
      </c>
      <c r="AA1031" s="20">
        <f t="shared" si="109"/>
        <v>0</v>
      </c>
    </row>
    <row r="1032" spans="1:27" ht="12.75">
      <c r="A1032" s="3" t="s">
        <v>1699</v>
      </c>
      <c r="B1032" s="3" t="s">
        <v>3187</v>
      </c>
      <c r="C1032" s="3" t="s">
        <v>3188</v>
      </c>
      <c r="D1032" s="3" t="s">
        <v>423</v>
      </c>
      <c r="E1032" s="3" t="s">
        <v>408</v>
      </c>
      <c r="F1032" s="3" t="s">
        <v>425</v>
      </c>
      <c r="G1032" s="3" t="s">
        <v>426</v>
      </c>
      <c r="H1032" s="3" t="s">
        <v>1592</v>
      </c>
      <c r="I1032" s="3" t="s">
        <v>424</v>
      </c>
      <c r="J1032" s="4">
        <v>0</v>
      </c>
      <c r="K1032" s="4">
        <v>0</v>
      </c>
      <c r="L1032" s="4">
        <v>0</v>
      </c>
      <c r="M1032" s="4">
        <v>0</v>
      </c>
      <c r="N1032" s="5">
        <v>0</v>
      </c>
      <c r="O1032" s="5">
        <v>0</v>
      </c>
      <c r="P1032" s="5">
        <v>0</v>
      </c>
      <c r="Q1032" s="5">
        <v>0</v>
      </c>
      <c r="R1032" s="5">
        <v>0</v>
      </c>
      <c r="S1032" s="5">
        <v>0</v>
      </c>
      <c r="T1032" s="5">
        <f t="shared" si="110"/>
        <v>0</v>
      </c>
      <c r="U1032" s="5">
        <v>7431</v>
      </c>
      <c r="V1032" s="5">
        <v>0</v>
      </c>
      <c r="W1032" s="5">
        <v>0</v>
      </c>
      <c r="X1032" s="5">
        <v>0</v>
      </c>
      <c r="Y1032" s="5">
        <v>7431</v>
      </c>
      <c r="Z1032" s="5">
        <f t="shared" si="111"/>
        <v>7431</v>
      </c>
      <c r="AA1032" s="20">
        <f t="shared" si="109"/>
        <v>0</v>
      </c>
    </row>
    <row r="1033" spans="1:27" ht="12.75">
      <c r="A1033" s="3" t="s">
        <v>1699</v>
      </c>
      <c r="B1033" s="3" t="s">
        <v>3187</v>
      </c>
      <c r="C1033" s="3" t="s">
        <v>3188</v>
      </c>
      <c r="D1033" s="3" t="s">
        <v>427</v>
      </c>
      <c r="E1033" s="3" t="s">
        <v>408</v>
      </c>
      <c r="F1033" s="3" t="s">
        <v>429</v>
      </c>
      <c r="G1033" s="3" t="s">
        <v>430</v>
      </c>
      <c r="H1033" s="3" t="s">
        <v>1592</v>
      </c>
      <c r="I1033" s="3" t="s">
        <v>428</v>
      </c>
      <c r="J1033" s="4">
        <v>0</v>
      </c>
      <c r="K1033" s="4">
        <v>0</v>
      </c>
      <c r="L1033" s="4">
        <v>0</v>
      </c>
      <c r="M1033" s="4">
        <v>0</v>
      </c>
      <c r="N1033" s="5">
        <v>0</v>
      </c>
      <c r="O1033" s="5">
        <v>0</v>
      </c>
      <c r="P1033" s="5">
        <v>0</v>
      </c>
      <c r="Q1033" s="5">
        <v>0</v>
      </c>
      <c r="R1033" s="5">
        <v>0</v>
      </c>
      <c r="S1033" s="5">
        <v>0</v>
      </c>
      <c r="T1033" s="5">
        <f t="shared" si="110"/>
        <v>0</v>
      </c>
      <c r="U1033" s="5">
        <v>14862</v>
      </c>
      <c r="V1033" s="5">
        <v>0</v>
      </c>
      <c r="W1033" s="5">
        <v>0</v>
      </c>
      <c r="X1033" s="5">
        <v>0</v>
      </c>
      <c r="Y1033" s="5">
        <v>14862</v>
      </c>
      <c r="Z1033" s="5">
        <f t="shared" si="111"/>
        <v>14862</v>
      </c>
      <c r="AA1033" s="20">
        <f t="shared" si="109"/>
        <v>0</v>
      </c>
    </row>
    <row r="1034" spans="1:27" ht="12.75">
      <c r="A1034" s="3" t="s">
        <v>1699</v>
      </c>
      <c r="B1034" s="3" t="s">
        <v>3187</v>
      </c>
      <c r="C1034" s="3" t="s">
        <v>3188</v>
      </c>
      <c r="D1034" s="3" t="s">
        <v>431</v>
      </c>
      <c r="E1034" s="3" t="s">
        <v>433</v>
      </c>
      <c r="F1034" s="3" t="s">
        <v>434</v>
      </c>
      <c r="G1034" s="3" t="s">
        <v>435</v>
      </c>
      <c r="H1034" s="3" t="s">
        <v>1592</v>
      </c>
      <c r="I1034" s="3" t="s">
        <v>432</v>
      </c>
      <c r="J1034" s="4">
        <v>0</v>
      </c>
      <c r="K1034" s="4">
        <v>0</v>
      </c>
      <c r="L1034" s="4">
        <v>0</v>
      </c>
      <c r="M1034" s="4">
        <v>0</v>
      </c>
      <c r="N1034" s="5">
        <v>0</v>
      </c>
      <c r="O1034" s="5">
        <v>0</v>
      </c>
      <c r="P1034" s="5">
        <v>0</v>
      </c>
      <c r="Q1034" s="5">
        <v>0</v>
      </c>
      <c r="R1034" s="5">
        <v>0</v>
      </c>
      <c r="S1034" s="5">
        <v>0</v>
      </c>
      <c r="T1034" s="5">
        <f t="shared" si="110"/>
        <v>0</v>
      </c>
      <c r="U1034" s="5">
        <v>23393</v>
      </c>
      <c r="V1034" s="5">
        <v>0</v>
      </c>
      <c r="W1034" s="5">
        <v>0</v>
      </c>
      <c r="X1034" s="5">
        <v>0</v>
      </c>
      <c r="Y1034" s="5">
        <v>23393</v>
      </c>
      <c r="Z1034" s="5">
        <f t="shared" si="111"/>
        <v>23393</v>
      </c>
      <c r="AA1034" s="20">
        <f t="shared" si="109"/>
        <v>0</v>
      </c>
    </row>
    <row r="1035" spans="1:27" ht="12.75">
      <c r="A1035" s="3" t="s">
        <v>1699</v>
      </c>
      <c r="B1035" s="3" t="s">
        <v>3187</v>
      </c>
      <c r="C1035" s="3" t="s">
        <v>3188</v>
      </c>
      <c r="D1035" s="3" t="s">
        <v>436</v>
      </c>
      <c r="E1035" s="3" t="s">
        <v>433</v>
      </c>
      <c r="F1035" s="3" t="s">
        <v>438</v>
      </c>
      <c r="G1035" s="3" t="s">
        <v>439</v>
      </c>
      <c r="H1035" s="3" t="s">
        <v>1592</v>
      </c>
      <c r="I1035" s="3" t="s">
        <v>437</v>
      </c>
      <c r="J1035" s="4">
        <v>0</v>
      </c>
      <c r="K1035" s="4">
        <v>0</v>
      </c>
      <c r="L1035" s="4">
        <v>0</v>
      </c>
      <c r="M1035" s="4">
        <v>0</v>
      </c>
      <c r="N1035" s="5">
        <v>0</v>
      </c>
      <c r="O1035" s="5">
        <v>0</v>
      </c>
      <c r="P1035" s="5">
        <v>0</v>
      </c>
      <c r="Q1035" s="5">
        <v>0</v>
      </c>
      <c r="R1035" s="5">
        <v>0</v>
      </c>
      <c r="S1035" s="5">
        <v>0</v>
      </c>
      <c r="T1035" s="5">
        <f t="shared" si="110"/>
        <v>0</v>
      </c>
      <c r="U1035" s="5">
        <v>14862</v>
      </c>
      <c r="V1035" s="5">
        <v>0</v>
      </c>
      <c r="W1035" s="5">
        <v>0</v>
      </c>
      <c r="X1035" s="5">
        <v>0</v>
      </c>
      <c r="Y1035" s="5">
        <v>14862</v>
      </c>
      <c r="Z1035" s="5">
        <f t="shared" si="111"/>
        <v>14862</v>
      </c>
      <c r="AA1035" s="20">
        <f t="shared" si="109"/>
        <v>0</v>
      </c>
    </row>
    <row r="1036" spans="1:27" ht="12.75">
      <c r="A1036" s="3" t="s">
        <v>1699</v>
      </c>
      <c r="B1036" s="3" t="s">
        <v>3187</v>
      </c>
      <c r="C1036" s="3" t="s">
        <v>3188</v>
      </c>
      <c r="D1036" s="3" t="s">
        <v>440</v>
      </c>
      <c r="E1036" s="3" t="s">
        <v>442</v>
      </c>
      <c r="F1036" s="3" t="s">
        <v>443</v>
      </c>
      <c r="G1036" s="3" t="s">
        <v>444</v>
      </c>
      <c r="H1036" s="3" t="s">
        <v>1592</v>
      </c>
      <c r="I1036" s="3" t="s">
        <v>441</v>
      </c>
      <c r="J1036" s="4">
        <v>0</v>
      </c>
      <c r="K1036" s="4">
        <v>0</v>
      </c>
      <c r="L1036" s="4">
        <v>1.5</v>
      </c>
      <c r="M1036" s="4">
        <v>0.083</v>
      </c>
      <c r="N1036" s="5">
        <v>39025</v>
      </c>
      <c r="O1036" s="5">
        <v>0</v>
      </c>
      <c r="P1036" s="5">
        <v>0</v>
      </c>
      <c r="Q1036" s="5">
        <v>0</v>
      </c>
      <c r="R1036" s="5">
        <v>0</v>
      </c>
      <c r="S1036" s="5">
        <v>0</v>
      </c>
      <c r="T1036" s="5">
        <f t="shared" si="110"/>
        <v>39025</v>
      </c>
      <c r="U1036" s="5">
        <v>16475</v>
      </c>
      <c r="V1036" s="5">
        <v>0</v>
      </c>
      <c r="W1036" s="5">
        <v>0</v>
      </c>
      <c r="X1036" s="5">
        <v>0</v>
      </c>
      <c r="Y1036" s="5">
        <v>55500</v>
      </c>
      <c r="Z1036" s="5">
        <f t="shared" si="111"/>
        <v>55500</v>
      </c>
      <c r="AA1036" s="20">
        <f t="shared" si="109"/>
        <v>0</v>
      </c>
    </row>
    <row r="1037" spans="1:27" ht="12.75">
      <c r="A1037" s="3" t="s">
        <v>1699</v>
      </c>
      <c r="B1037" s="3" t="s">
        <v>3187</v>
      </c>
      <c r="C1037" s="3" t="s">
        <v>3188</v>
      </c>
      <c r="D1037" s="3" t="s">
        <v>445</v>
      </c>
      <c r="E1037" s="3" t="s">
        <v>442</v>
      </c>
      <c r="F1037" s="3" t="s">
        <v>443</v>
      </c>
      <c r="G1037" s="3" t="s">
        <v>447</v>
      </c>
      <c r="H1037" s="3" t="s">
        <v>448</v>
      </c>
      <c r="I1037" s="3" t="s">
        <v>446</v>
      </c>
      <c r="J1037" s="4">
        <v>0</v>
      </c>
      <c r="K1037" s="4">
        <v>0</v>
      </c>
      <c r="L1037" s="4">
        <v>0.5</v>
      </c>
      <c r="M1037" s="4">
        <v>0</v>
      </c>
      <c r="N1037" s="5">
        <v>11748</v>
      </c>
      <c r="O1037" s="5">
        <v>0</v>
      </c>
      <c r="P1037" s="5">
        <v>0</v>
      </c>
      <c r="Q1037" s="5">
        <v>0</v>
      </c>
      <c r="R1037" s="5">
        <v>0</v>
      </c>
      <c r="S1037" s="5">
        <v>0</v>
      </c>
      <c r="T1037" s="5">
        <f t="shared" si="110"/>
        <v>11748</v>
      </c>
      <c r="U1037" s="5">
        <f>SUM(S1037:S1037)</f>
        <v>0</v>
      </c>
      <c r="V1037" s="5">
        <v>0</v>
      </c>
      <c r="W1037" s="5">
        <v>0</v>
      </c>
      <c r="X1037" s="5">
        <v>0</v>
      </c>
      <c r="Y1037" s="5">
        <v>11748</v>
      </c>
      <c r="Z1037" s="5">
        <f t="shared" si="111"/>
        <v>11748</v>
      </c>
      <c r="AA1037" s="20">
        <f t="shared" si="109"/>
        <v>0</v>
      </c>
    </row>
    <row r="1038" spans="1:27" ht="12.75">
      <c r="A1038" s="3" t="s">
        <v>1699</v>
      </c>
      <c r="B1038" s="3" t="s">
        <v>3187</v>
      </c>
      <c r="C1038" s="3" t="s">
        <v>3188</v>
      </c>
      <c r="D1038" s="3" t="s">
        <v>449</v>
      </c>
      <c r="E1038" s="3" t="s">
        <v>442</v>
      </c>
      <c r="F1038" s="3" t="s">
        <v>451</v>
      </c>
      <c r="G1038" s="3" t="s">
        <v>452</v>
      </c>
      <c r="H1038" s="3" t="s">
        <v>1592</v>
      </c>
      <c r="I1038" s="3" t="s">
        <v>450</v>
      </c>
      <c r="J1038" s="4">
        <v>0</v>
      </c>
      <c r="K1038" s="4">
        <v>0</v>
      </c>
      <c r="L1038" s="4">
        <v>0</v>
      </c>
      <c r="M1038" s="4">
        <v>0</v>
      </c>
      <c r="N1038" s="5">
        <v>0</v>
      </c>
      <c r="O1038" s="5">
        <v>0</v>
      </c>
      <c r="P1038" s="5">
        <v>0</v>
      </c>
      <c r="Q1038" s="5">
        <v>0</v>
      </c>
      <c r="R1038" s="5">
        <v>0</v>
      </c>
      <c r="S1038" s="5">
        <v>0</v>
      </c>
      <c r="T1038" s="5">
        <f t="shared" si="110"/>
        <v>0</v>
      </c>
      <c r="U1038" s="5">
        <v>150818</v>
      </c>
      <c r="V1038" s="5">
        <v>0</v>
      </c>
      <c r="W1038" s="5">
        <v>0</v>
      </c>
      <c r="X1038" s="5">
        <v>0</v>
      </c>
      <c r="Y1038" s="5">
        <v>150818</v>
      </c>
      <c r="Z1038" s="5">
        <f t="shared" si="111"/>
        <v>150818</v>
      </c>
      <c r="AA1038" s="20">
        <f t="shared" si="109"/>
        <v>0</v>
      </c>
    </row>
    <row r="1039" spans="1:27" ht="12.75">
      <c r="A1039" s="3" t="s">
        <v>1699</v>
      </c>
      <c r="B1039" s="3" t="s">
        <v>3187</v>
      </c>
      <c r="C1039" s="3" t="s">
        <v>3188</v>
      </c>
      <c r="D1039" s="3" t="s">
        <v>453</v>
      </c>
      <c r="E1039" s="3" t="s">
        <v>442</v>
      </c>
      <c r="F1039" s="3" t="s">
        <v>455</v>
      </c>
      <c r="G1039" s="3" t="s">
        <v>456</v>
      </c>
      <c r="H1039" s="3" t="s">
        <v>448</v>
      </c>
      <c r="I1039" s="3" t="s">
        <v>454</v>
      </c>
      <c r="J1039" s="4">
        <v>0</v>
      </c>
      <c r="K1039" s="4">
        <v>0</v>
      </c>
      <c r="L1039" s="4">
        <v>0</v>
      </c>
      <c r="M1039" s="4">
        <v>0.203</v>
      </c>
      <c r="N1039" s="5">
        <v>1746</v>
      </c>
      <c r="O1039" s="5">
        <v>0</v>
      </c>
      <c r="P1039" s="5">
        <v>0</v>
      </c>
      <c r="Q1039" s="5">
        <v>0</v>
      </c>
      <c r="R1039" s="5">
        <v>0</v>
      </c>
      <c r="S1039" s="5">
        <v>0</v>
      </c>
      <c r="T1039" s="5">
        <f t="shared" si="110"/>
        <v>1746</v>
      </c>
      <c r="U1039" s="5">
        <f>SUM(S1039:S1039)</f>
        <v>0</v>
      </c>
      <c r="V1039" s="5">
        <v>0</v>
      </c>
      <c r="W1039" s="5">
        <v>0</v>
      </c>
      <c r="X1039" s="5">
        <v>0</v>
      </c>
      <c r="Y1039" s="5">
        <v>1746</v>
      </c>
      <c r="Z1039" s="5">
        <f t="shared" si="111"/>
        <v>1746</v>
      </c>
      <c r="AA1039" s="20">
        <f t="shared" si="109"/>
        <v>0</v>
      </c>
    </row>
    <row r="1040" spans="1:27" ht="12.75">
      <c r="A1040" s="3" t="s">
        <v>1699</v>
      </c>
      <c r="B1040" s="3" t="s">
        <v>3187</v>
      </c>
      <c r="C1040" s="3" t="s">
        <v>3188</v>
      </c>
      <c r="D1040" s="3" t="s">
        <v>457</v>
      </c>
      <c r="E1040" s="3" t="s">
        <v>442</v>
      </c>
      <c r="F1040" s="3" t="s">
        <v>459</v>
      </c>
      <c r="G1040" s="3" t="s">
        <v>460</v>
      </c>
      <c r="H1040" s="3" t="s">
        <v>1592</v>
      </c>
      <c r="I1040" s="3" t="s">
        <v>458</v>
      </c>
      <c r="J1040" s="4">
        <v>0</v>
      </c>
      <c r="K1040" s="4">
        <v>0.112</v>
      </c>
      <c r="L1040" s="4">
        <v>0</v>
      </c>
      <c r="M1040" s="4">
        <v>0</v>
      </c>
      <c r="N1040" s="5">
        <v>7497</v>
      </c>
      <c r="O1040" s="5">
        <v>0</v>
      </c>
      <c r="P1040" s="5">
        <v>0</v>
      </c>
      <c r="Q1040" s="5">
        <v>0</v>
      </c>
      <c r="R1040" s="5">
        <v>0</v>
      </c>
      <c r="S1040" s="5">
        <v>0</v>
      </c>
      <c r="T1040" s="5">
        <f t="shared" si="110"/>
        <v>7497</v>
      </c>
      <c r="U1040" s="5">
        <v>52503</v>
      </c>
      <c r="V1040" s="5">
        <v>0</v>
      </c>
      <c r="W1040" s="5">
        <v>0</v>
      </c>
      <c r="X1040" s="5">
        <v>0</v>
      </c>
      <c r="Y1040" s="5">
        <v>60000</v>
      </c>
      <c r="Z1040" s="5">
        <f t="shared" si="111"/>
        <v>60000</v>
      </c>
      <c r="AA1040" s="20">
        <f t="shared" si="109"/>
        <v>0</v>
      </c>
    </row>
    <row r="1041" spans="1:27" ht="12.75">
      <c r="A1041" s="3" t="s">
        <v>1699</v>
      </c>
      <c r="B1041" s="3" t="s">
        <v>3187</v>
      </c>
      <c r="C1041" s="3" t="s">
        <v>3188</v>
      </c>
      <c r="D1041" s="3" t="s">
        <v>461</v>
      </c>
      <c r="E1041" s="3" t="s">
        <v>442</v>
      </c>
      <c r="F1041" s="3" t="s">
        <v>459</v>
      </c>
      <c r="G1041" s="3" t="s">
        <v>463</v>
      </c>
      <c r="H1041" s="3" t="s">
        <v>448</v>
      </c>
      <c r="I1041" s="3" t="s">
        <v>462</v>
      </c>
      <c r="J1041" s="4">
        <v>0</v>
      </c>
      <c r="K1041" s="4">
        <v>0.037</v>
      </c>
      <c r="L1041" s="4">
        <v>0</v>
      </c>
      <c r="M1041" s="4">
        <v>0</v>
      </c>
      <c r="N1041" s="5">
        <v>2499</v>
      </c>
      <c r="O1041" s="5">
        <v>0</v>
      </c>
      <c r="P1041" s="5">
        <v>0</v>
      </c>
      <c r="Q1041" s="5">
        <v>0</v>
      </c>
      <c r="R1041" s="5">
        <v>0</v>
      </c>
      <c r="S1041" s="5">
        <v>0</v>
      </c>
      <c r="T1041" s="5">
        <f t="shared" si="110"/>
        <v>2499</v>
      </c>
      <c r="U1041" s="5">
        <f>SUM(S1041:S1041)</f>
        <v>0</v>
      </c>
      <c r="V1041" s="5">
        <v>0</v>
      </c>
      <c r="W1041" s="5">
        <v>0</v>
      </c>
      <c r="X1041" s="5">
        <v>0</v>
      </c>
      <c r="Y1041" s="5">
        <v>2499</v>
      </c>
      <c r="Z1041" s="5">
        <f t="shared" si="111"/>
        <v>2499</v>
      </c>
      <c r="AA1041" s="20">
        <f t="shared" si="109"/>
        <v>0</v>
      </c>
    </row>
    <row r="1042" spans="1:27" ht="12.75">
      <c r="A1042" s="3" t="s">
        <v>1699</v>
      </c>
      <c r="B1042" s="3" t="s">
        <v>3187</v>
      </c>
      <c r="C1042" s="3" t="s">
        <v>3188</v>
      </c>
      <c r="D1042" s="3" t="s">
        <v>464</v>
      </c>
      <c r="E1042" s="3" t="s">
        <v>442</v>
      </c>
      <c r="F1042" s="3" t="s">
        <v>466</v>
      </c>
      <c r="G1042" s="3" t="s">
        <v>467</v>
      </c>
      <c r="H1042" s="3" t="s">
        <v>448</v>
      </c>
      <c r="I1042" s="3" t="s">
        <v>465</v>
      </c>
      <c r="J1042" s="4">
        <v>0</v>
      </c>
      <c r="K1042" s="4">
        <v>0.333</v>
      </c>
      <c r="L1042" s="4">
        <v>0</v>
      </c>
      <c r="M1042" s="4">
        <v>0.083</v>
      </c>
      <c r="N1042" s="5">
        <v>19352</v>
      </c>
      <c r="O1042" s="5">
        <v>0</v>
      </c>
      <c r="P1042" s="5">
        <v>0</v>
      </c>
      <c r="Q1042" s="5">
        <v>0</v>
      </c>
      <c r="R1042" s="5">
        <v>0</v>
      </c>
      <c r="S1042" s="5">
        <v>0</v>
      </c>
      <c r="T1042" s="5">
        <f t="shared" si="110"/>
        <v>19352</v>
      </c>
      <c r="U1042" s="5">
        <f>SUM(S1042:S1042)</f>
        <v>0</v>
      </c>
      <c r="V1042" s="5">
        <v>0</v>
      </c>
      <c r="W1042" s="5">
        <v>0</v>
      </c>
      <c r="X1042" s="5">
        <v>0</v>
      </c>
      <c r="Y1042" s="5">
        <v>19352</v>
      </c>
      <c r="Z1042" s="5">
        <f t="shared" si="111"/>
        <v>19352</v>
      </c>
      <c r="AA1042" s="20">
        <f t="shared" si="109"/>
        <v>0</v>
      </c>
    </row>
    <row r="1043" spans="1:27" ht="12.75">
      <c r="A1043" s="3" t="s">
        <v>1699</v>
      </c>
      <c r="B1043" s="3" t="s">
        <v>3187</v>
      </c>
      <c r="C1043" s="3" t="s">
        <v>3188</v>
      </c>
      <c r="D1043" s="3" t="s">
        <v>468</v>
      </c>
      <c r="E1043" s="3" t="s">
        <v>442</v>
      </c>
      <c r="F1043" s="3" t="s">
        <v>470</v>
      </c>
      <c r="G1043" s="3" t="s">
        <v>471</v>
      </c>
      <c r="H1043" s="3" t="s">
        <v>1592</v>
      </c>
      <c r="I1043" s="3" t="s">
        <v>469</v>
      </c>
      <c r="J1043" s="4">
        <v>0</v>
      </c>
      <c r="K1043" s="4">
        <v>0</v>
      </c>
      <c r="L1043" s="4">
        <v>0</v>
      </c>
      <c r="M1043" s="4">
        <v>0</v>
      </c>
      <c r="N1043" s="5">
        <v>0</v>
      </c>
      <c r="O1043" s="5">
        <v>0</v>
      </c>
      <c r="P1043" s="5">
        <v>0</v>
      </c>
      <c r="Q1043" s="5">
        <v>0</v>
      </c>
      <c r="R1043" s="5">
        <v>0</v>
      </c>
      <c r="S1043" s="5">
        <v>0</v>
      </c>
      <c r="T1043" s="5">
        <f t="shared" si="110"/>
        <v>0</v>
      </c>
      <c r="U1043" s="5">
        <v>12150</v>
      </c>
      <c r="V1043" s="5">
        <v>0</v>
      </c>
      <c r="W1043" s="5">
        <v>0</v>
      </c>
      <c r="X1043" s="5">
        <v>0</v>
      </c>
      <c r="Y1043" s="5">
        <v>12150</v>
      </c>
      <c r="Z1043" s="5">
        <f t="shared" si="111"/>
        <v>12150</v>
      </c>
      <c r="AA1043" s="20">
        <f t="shared" si="109"/>
        <v>0</v>
      </c>
    </row>
    <row r="1044" spans="1:27" ht="12.75">
      <c r="A1044" s="3" t="s">
        <v>1699</v>
      </c>
      <c r="B1044" s="3" t="s">
        <v>3187</v>
      </c>
      <c r="C1044" s="3" t="s">
        <v>3188</v>
      </c>
      <c r="D1044" s="3" t="s">
        <v>472</v>
      </c>
      <c r="E1044" s="3" t="s">
        <v>442</v>
      </c>
      <c r="F1044" s="3" t="s">
        <v>474</v>
      </c>
      <c r="G1044" s="3" t="s">
        <v>475</v>
      </c>
      <c r="H1044" s="3" t="s">
        <v>1592</v>
      </c>
      <c r="I1044" s="3" t="s">
        <v>473</v>
      </c>
      <c r="J1044" s="4">
        <v>0</v>
      </c>
      <c r="K1044" s="4">
        <v>0</v>
      </c>
      <c r="L1044" s="4">
        <v>0</v>
      </c>
      <c r="M1044" s="4">
        <v>0.106</v>
      </c>
      <c r="N1044" s="5">
        <v>5913</v>
      </c>
      <c r="O1044" s="5">
        <v>0</v>
      </c>
      <c r="P1044" s="5">
        <v>0</v>
      </c>
      <c r="Q1044" s="5">
        <v>0</v>
      </c>
      <c r="R1044" s="5">
        <v>0</v>
      </c>
      <c r="S1044" s="5">
        <v>0</v>
      </c>
      <c r="T1044" s="5">
        <f t="shared" si="110"/>
        <v>5913</v>
      </c>
      <c r="U1044" s="5">
        <v>39087</v>
      </c>
      <c r="V1044" s="5">
        <v>0</v>
      </c>
      <c r="W1044" s="5">
        <v>0</v>
      </c>
      <c r="X1044" s="5">
        <v>0</v>
      </c>
      <c r="Y1044" s="5">
        <v>45000</v>
      </c>
      <c r="Z1044" s="5">
        <f t="shared" si="111"/>
        <v>45000</v>
      </c>
      <c r="AA1044" s="20">
        <f t="shared" si="109"/>
        <v>0</v>
      </c>
    </row>
    <row r="1045" spans="1:27" ht="12.75">
      <c r="A1045" s="3" t="s">
        <v>1699</v>
      </c>
      <c r="B1045" s="3" t="s">
        <v>3187</v>
      </c>
      <c r="C1045" s="3" t="s">
        <v>3188</v>
      </c>
      <c r="D1045" s="3" t="s">
        <v>476</v>
      </c>
      <c r="E1045" s="3" t="s">
        <v>442</v>
      </c>
      <c r="F1045" s="3" t="s">
        <v>474</v>
      </c>
      <c r="G1045" s="3" t="s">
        <v>478</v>
      </c>
      <c r="H1045" s="3" t="s">
        <v>448</v>
      </c>
      <c r="I1045" s="3" t="s">
        <v>477</v>
      </c>
      <c r="J1045" s="4">
        <v>0</v>
      </c>
      <c r="K1045" s="4">
        <v>0</v>
      </c>
      <c r="L1045" s="4">
        <v>0</v>
      </c>
      <c r="M1045" s="4">
        <v>0.035</v>
      </c>
      <c r="N1045" s="5">
        <v>1971</v>
      </c>
      <c r="O1045" s="5">
        <v>0</v>
      </c>
      <c r="P1045" s="5">
        <v>0</v>
      </c>
      <c r="Q1045" s="5">
        <v>0</v>
      </c>
      <c r="R1045" s="5">
        <v>0</v>
      </c>
      <c r="S1045" s="5">
        <v>0</v>
      </c>
      <c r="T1045" s="5">
        <f t="shared" si="110"/>
        <v>1971</v>
      </c>
      <c r="U1045" s="5">
        <f aca="true" t="shared" si="112" ref="U1045:U1050">SUM(S1045:S1045)</f>
        <v>0</v>
      </c>
      <c r="V1045" s="5">
        <v>0</v>
      </c>
      <c r="W1045" s="5">
        <v>0</v>
      </c>
      <c r="X1045" s="5">
        <v>0</v>
      </c>
      <c r="Y1045" s="5">
        <v>1971</v>
      </c>
      <c r="Z1045" s="5">
        <f t="shared" si="111"/>
        <v>1971</v>
      </c>
      <c r="AA1045" s="20">
        <f aca="true" t="shared" si="113" ref="AA1045:AA1112">+Y1045-Z1045</f>
        <v>0</v>
      </c>
    </row>
    <row r="1046" spans="1:27" ht="12.75">
      <c r="A1046" s="3" t="s">
        <v>1699</v>
      </c>
      <c r="B1046" s="3" t="s">
        <v>3187</v>
      </c>
      <c r="C1046" s="3" t="s">
        <v>3188</v>
      </c>
      <c r="D1046" s="3" t="s">
        <v>479</v>
      </c>
      <c r="E1046" s="3" t="s">
        <v>442</v>
      </c>
      <c r="F1046" s="3" t="s">
        <v>481</v>
      </c>
      <c r="G1046" s="3" t="s">
        <v>482</v>
      </c>
      <c r="H1046" s="3" t="s">
        <v>448</v>
      </c>
      <c r="I1046" s="3" t="s">
        <v>480</v>
      </c>
      <c r="J1046" s="4">
        <v>0</v>
      </c>
      <c r="K1046" s="4">
        <v>0</v>
      </c>
      <c r="L1046" s="4">
        <v>0.059</v>
      </c>
      <c r="M1046" s="4">
        <v>0</v>
      </c>
      <c r="N1046" s="5">
        <v>270</v>
      </c>
      <c r="O1046" s="5">
        <v>0</v>
      </c>
      <c r="P1046" s="5">
        <v>0</v>
      </c>
      <c r="Q1046" s="5">
        <v>0</v>
      </c>
      <c r="R1046" s="5">
        <v>0</v>
      </c>
      <c r="S1046" s="5">
        <v>0</v>
      </c>
      <c r="T1046" s="5">
        <f t="shared" si="110"/>
        <v>270</v>
      </c>
      <c r="U1046" s="5">
        <f t="shared" si="112"/>
        <v>0</v>
      </c>
      <c r="V1046" s="5">
        <v>0</v>
      </c>
      <c r="W1046" s="5">
        <v>0</v>
      </c>
      <c r="X1046" s="5">
        <v>0</v>
      </c>
      <c r="Y1046" s="5">
        <v>270</v>
      </c>
      <c r="Z1046" s="5">
        <f t="shared" si="111"/>
        <v>270</v>
      </c>
      <c r="AA1046" s="20">
        <f t="shared" si="113"/>
        <v>0</v>
      </c>
    </row>
    <row r="1047" spans="1:27" ht="12.75">
      <c r="A1047" s="3" t="s">
        <v>1699</v>
      </c>
      <c r="B1047" s="3" t="s">
        <v>3187</v>
      </c>
      <c r="C1047" s="3" t="s">
        <v>3188</v>
      </c>
      <c r="D1047" s="3" t="s">
        <v>483</v>
      </c>
      <c r="E1047" s="3" t="s">
        <v>485</v>
      </c>
      <c r="F1047" s="3" t="s">
        <v>486</v>
      </c>
      <c r="G1047" s="3" t="s">
        <v>487</v>
      </c>
      <c r="H1047" s="3" t="s">
        <v>448</v>
      </c>
      <c r="I1047" s="3" t="s">
        <v>484</v>
      </c>
      <c r="J1047" s="4">
        <v>0</v>
      </c>
      <c r="K1047" s="4">
        <v>0</v>
      </c>
      <c r="L1047" s="4">
        <v>0</v>
      </c>
      <c r="M1047" s="4">
        <v>0.083</v>
      </c>
      <c r="N1047" s="5">
        <v>3998</v>
      </c>
      <c r="O1047" s="5">
        <v>0</v>
      </c>
      <c r="P1047" s="5">
        <v>0</v>
      </c>
      <c r="Q1047" s="5">
        <v>0</v>
      </c>
      <c r="R1047" s="5">
        <v>0</v>
      </c>
      <c r="S1047" s="5">
        <v>0</v>
      </c>
      <c r="T1047" s="5">
        <f aca="true" t="shared" si="114" ref="T1047:T1112">SUM(N1047:R1047)</f>
        <v>3998</v>
      </c>
      <c r="U1047" s="5">
        <f t="shared" si="112"/>
        <v>0</v>
      </c>
      <c r="V1047" s="5">
        <v>0</v>
      </c>
      <c r="W1047" s="5">
        <v>0</v>
      </c>
      <c r="X1047" s="5">
        <v>0</v>
      </c>
      <c r="Y1047" s="5">
        <v>3998</v>
      </c>
      <c r="Z1047" s="5">
        <f aca="true" t="shared" si="115" ref="Z1047:Z1112">SUM(T1047:X1047)</f>
        <v>3998</v>
      </c>
      <c r="AA1047" s="20">
        <f t="shared" si="113"/>
        <v>0</v>
      </c>
    </row>
    <row r="1048" spans="1:27" ht="12.75">
      <c r="A1048" s="3" t="s">
        <v>1699</v>
      </c>
      <c r="B1048" s="3" t="s">
        <v>3187</v>
      </c>
      <c r="C1048" s="3" t="s">
        <v>3188</v>
      </c>
      <c r="D1048" s="3" t="s">
        <v>488</v>
      </c>
      <c r="E1048" s="3" t="s">
        <v>485</v>
      </c>
      <c r="F1048" s="3" t="s">
        <v>490</v>
      </c>
      <c r="G1048" s="3" t="s">
        <v>491</v>
      </c>
      <c r="H1048" s="3" t="s">
        <v>1592</v>
      </c>
      <c r="I1048" s="3" t="s">
        <v>489</v>
      </c>
      <c r="J1048" s="4">
        <v>0</v>
      </c>
      <c r="K1048" s="4">
        <v>0</v>
      </c>
      <c r="L1048" s="4">
        <v>0.706</v>
      </c>
      <c r="M1048" s="4">
        <v>0</v>
      </c>
      <c r="N1048" s="5">
        <v>9702</v>
      </c>
      <c r="O1048" s="5">
        <v>0</v>
      </c>
      <c r="P1048" s="5">
        <v>0</v>
      </c>
      <c r="Q1048" s="5">
        <v>0</v>
      </c>
      <c r="R1048" s="5">
        <v>0</v>
      </c>
      <c r="S1048" s="5">
        <v>0</v>
      </c>
      <c r="T1048" s="5">
        <f t="shared" si="114"/>
        <v>9702</v>
      </c>
      <c r="U1048" s="5">
        <f t="shared" si="112"/>
        <v>0</v>
      </c>
      <c r="V1048" s="5">
        <v>0</v>
      </c>
      <c r="W1048" s="5">
        <v>0</v>
      </c>
      <c r="X1048" s="5">
        <v>0</v>
      </c>
      <c r="Y1048" s="5">
        <v>9702</v>
      </c>
      <c r="Z1048" s="5">
        <f t="shared" si="115"/>
        <v>9702</v>
      </c>
      <c r="AA1048" s="20">
        <f t="shared" si="113"/>
        <v>0</v>
      </c>
    </row>
    <row r="1049" spans="1:27" ht="12.75">
      <c r="A1049" s="3" t="s">
        <v>1699</v>
      </c>
      <c r="B1049" s="3" t="s">
        <v>3187</v>
      </c>
      <c r="C1049" s="3" t="s">
        <v>3188</v>
      </c>
      <c r="D1049" s="3" t="s">
        <v>492</v>
      </c>
      <c r="E1049" s="3" t="s">
        <v>485</v>
      </c>
      <c r="F1049" s="3" t="s">
        <v>490</v>
      </c>
      <c r="G1049" s="3" t="s">
        <v>494</v>
      </c>
      <c r="H1049" s="3" t="s">
        <v>448</v>
      </c>
      <c r="I1049" s="3" t="s">
        <v>901</v>
      </c>
      <c r="J1049" s="4">
        <v>0</v>
      </c>
      <c r="K1049" s="4">
        <v>0</v>
      </c>
      <c r="L1049" s="4">
        <v>0.235</v>
      </c>
      <c r="M1049" s="4">
        <v>0</v>
      </c>
      <c r="N1049" s="5">
        <v>3234</v>
      </c>
      <c r="O1049" s="5">
        <v>0</v>
      </c>
      <c r="P1049" s="5">
        <v>0</v>
      </c>
      <c r="Q1049" s="5">
        <v>0</v>
      </c>
      <c r="R1049" s="5">
        <v>0</v>
      </c>
      <c r="S1049" s="5">
        <v>0</v>
      </c>
      <c r="T1049" s="5">
        <f t="shared" si="114"/>
        <v>3234</v>
      </c>
      <c r="U1049" s="5">
        <f t="shared" si="112"/>
        <v>0</v>
      </c>
      <c r="V1049" s="5">
        <v>0</v>
      </c>
      <c r="W1049" s="5">
        <v>0</v>
      </c>
      <c r="X1049" s="5">
        <v>0</v>
      </c>
      <c r="Y1049" s="5">
        <v>3234</v>
      </c>
      <c r="Z1049" s="5">
        <f t="shared" si="115"/>
        <v>3234</v>
      </c>
      <c r="AA1049" s="20">
        <f t="shared" si="113"/>
        <v>0</v>
      </c>
    </row>
    <row r="1050" spans="1:27" ht="12.75">
      <c r="A1050" s="3" t="s">
        <v>1699</v>
      </c>
      <c r="B1050" s="3" t="s">
        <v>3187</v>
      </c>
      <c r="C1050" s="3" t="s">
        <v>3188</v>
      </c>
      <c r="D1050" s="3" t="s">
        <v>495</v>
      </c>
      <c r="E1050" s="3" t="s">
        <v>485</v>
      </c>
      <c r="F1050" s="3" t="s">
        <v>497</v>
      </c>
      <c r="G1050" s="3" t="s">
        <v>498</v>
      </c>
      <c r="H1050" s="3" t="s">
        <v>448</v>
      </c>
      <c r="I1050" s="3" t="s">
        <v>496</v>
      </c>
      <c r="J1050" s="4">
        <v>0</v>
      </c>
      <c r="K1050" s="4">
        <v>0</v>
      </c>
      <c r="L1050" s="4">
        <v>0</v>
      </c>
      <c r="M1050" s="4">
        <v>0.081</v>
      </c>
      <c r="N1050" s="5">
        <v>3542</v>
      </c>
      <c r="O1050" s="5">
        <v>0</v>
      </c>
      <c r="P1050" s="5">
        <v>0</v>
      </c>
      <c r="Q1050" s="5">
        <v>0</v>
      </c>
      <c r="R1050" s="5">
        <v>0</v>
      </c>
      <c r="S1050" s="5">
        <v>0</v>
      </c>
      <c r="T1050" s="5">
        <f t="shared" si="114"/>
        <v>3542</v>
      </c>
      <c r="U1050" s="5">
        <f t="shared" si="112"/>
        <v>0</v>
      </c>
      <c r="V1050" s="5">
        <v>0</v>
      </c>
      <c r="W1050" s="5">
        <v>0</v>
      </c>
      <c r="X1050" s="5">
        <v>0</v>
      </c>
      <c r="Y1050" s="5">
        <v>3542</v>
      </c>
      <c r="Z1050" s="5">
        <f t="shared" si="115"/>
        <v>3542</v>
      </c>
      <c r="AA1050" s="20">
        <f t="shared" si="113"/>
        <v>0</v>
      </c>
    </row>
    <row r="1051" spans="1:27" ht="12.75">
      <c r="A1051" s="3" t="s">
        <v>1699</v>
      </c>
      <c r="B1051" s="3" t="s">
        <v>3187</v>
      </c>
      <c r="C1051" s="3" t="s">
        <v>3188</v>
      </c>
      <c r="D1051" s="3" t="s">
        <v>499</v>
      </c>
      <c r="E1051" s="3" t="s">
        <v>485</v>
      </c>
      <c r="F1051" s="3" t="s">
        <v>501</v>
      </c>
      <c r="G1051" s="3" t="s">
        <v>502</v>
      </c>
      <c r="H1051" s="3" t="s">
        <v>1592</v>
      </c>
      <c r="I1051" s="3" t="s">
        <v>500</v>
      </c>
      <c r="J1051" s="4">
        <v>0</v>
      </c>
      <c r="K1051" s="4">
        <v>0</v>
      </c>
      <c r="L1051" s="4">
        <v>0</v>
      </c>
      <c r="M1051" s="4">
        <v>0</v>
      </c>
      <c r="N1051" s="5">
        <v>0</v>
      </c>
      <c r="O1051" s="5">
        <v>0</v>
      </c>
      <c r="P1051" s="5">
        <v>0</v>
      </c>
      <c r="Q1051" s="5">
        <v>0</v>
      </c>
      <c r="R1051" s="5">
        <v>0</v>
      </c>
      <c r="S1051" s="5">
        <v>0</v>
      </c>
      <c r="T1051" s="5">
        <f t="shared" si="114"/>
        <v>0</v>
      </c>
      <c r="U1051" s="5">
        <v>100354</v>
      </c>
      <c r="V1051" s="5">
        <v>0</v>
      </c>
      <c r="W1051" s="5">
        <v>0</v>
      </c>
      <c r="X1051" s="5">
        <v>0</v>
      </c>
      <c r="Y1051" s="5">
        <v>100354</v>
      </c>
      <c r="Z1051" s="5">
        <f t="shared" si="115"/>
        <v>100354</v>
      </c>
      <c r="AA1051" s="20">
        <f t="shared" si="113"/>
        <v>0</v>
      </c>
    </row>
    <row r="1052" spans="1:27" ht="12.75">
      <c r="A1052" s="3" t="s">
        <v>1699</v>
      </c>
      <c r="B1052" s="3" t="s">
        <v>3187</v>
      </c>
      <c r="C1052" s="3" t="s">
        <v>3188</v>
      </c>
      <c r="D1052" s="3" t="s">
        <v>503</v>
      </c>
      <c r="E1052" s="3" t="s">
        <v>485</v>
      </c>
      <c r="F1052" s="3" t="s">
        <v>505</v>
      </c>
      <c r="G1052" s="3" t="s">
        <v>506</v>
      </c>
      <c r="H1052" s="3" t="s">
        <v>1592</v>
      </c>
      <c r="I1052" s="3" t="s">
        <v>504</v>
      </c>
      <c r="J1052" s="4">
        <v>0</v>
      </c>
      <c r="K1052" s="4">
        <v>0</v>
      </c>
      <c r="L1052" s="4">
        <v>0.692</v>
      </c>
      <c r="M1052" s="4">
        <v>0</v>
      </c>
      <c r="N1052" s="5">
        <v>14967</v>
      </c>
      <c r="O1052" s="5">
        <v>0</v>
      </c>
      <c r="P1052" s="5">
        <v>0</v>
      </c>
      <c r="Q1052" s="5">
        <v>0</v>
      </c>
      <c r="R1052" s="5">
        <v>0</v>
      </c>
      <c r="S1052" s="5">
        <v>0</v>
      </c>
      <c r="T1052" s="5">
        <f t="shared" si="114"/>
        <v>14967</v>
      </c>
      <c r="U1052" s="5">
        <f aca="true" t="shared" si="116" ref="U1052:U1069">SUM(S1052:S1052)</f>
        <v>0</v>
      </c>
      <c r="V1052" s="5">
        <v>0</v>
      </c>
      <c r="W1052" s="5">
        <v>0</v>
      </c>
      <c r="X1052" s="5">
        <v>0</v>
      </c>
      <c r="Y1052" s="5">
        <v>14967</v>
      </c>
      <c r="Z1052" s="5">
        <f t="shared" si="115"/>
        <v>14967</v>
      </c>
      <c r="AA1052" s="20">
        <f t="shared" si="113"/>
        <v>0</v>
      </c>
    </row>
    <row r="1053" spans="1:27" ht="12.75">
      <c r="A1053" s="3" t="s">
        <v>1699</v>
      </c>
      <c r="B1053" s="3" t="s">
        <v>3187</v>
      </c>
      <c r="C1053" s="3" t="s">
        <v>3188</v>
      </c>
      <c r="D1053" s="3" t="s">
        <v>507</v>
      </c>
      <c r="E1053" s="3" t="s">
        <v>485</v>
      </c>
      <c r="F1053" s="3" t="s">
        <v>505</v>
      </c>
      <c r="G1053" s="3" t="s">
        <v>509</v>
      </c>
      <c r="H1053" s="3" t="s">
        <v>448</v>
      </c>
      <c r="I1053" s="3" t="s">
        <v>902</v>
      </c>
      <c r="J1053" s="4">
        <v>0</v>
      </c>
      <c r="K1053" s="4">
        <v>0</v>
      </c>
      <c r="L1053" s="4">
        <v>0.154</v>
      </c>
      <c r="M1053" s="4">
        <v>0</v>
      </c>
      <c r="N1053" s="5">
        <v>3326</v>
      </c>
      <c r="O1053" s="5">
        <v>0</v>
      </c>
      <c r="P1053" s="5">
        <v>0</v>
      </c>
      <c r="Q1053" s="5">
        <v>0</v>
      </c>
      <c r="R1053" s="5">
        <v>0</v>
      </c>
      <c r="S1053" s="5">
        <v>0</v>
      </c>
      <c r="T1053" s="5">
        <f t="shared" si="114"/>
        <v>3326</v>
      </c>
      <c r="U1053" s="5">
        <f t="shared" si="116"/>
        <v>0</v>
      </c>
      <c r="V1053" s="5">
        <v>0</v>
      </c>
      <c r="W1053" s="5">
        <v>0</v>
      </c>
      <c r="X1053" s="5">
        <v>0</v>
      </c>
      <c r="Y1053" s="5">
        <v>3326</v>
      </c>
      <c r="Z1053" s="5">
        <f t="shared" si="115"/>
        <v>3326</v>
      </c>
      <c r="AA1053" s="20">
        <f t="shared" si="113"/>
        <v>0</v>
      </c>
    </row>
    <row r="1054" spans="1:27" ht="12.75">
      <c r="A1054" s="3" t="s">
        <v>1699</v>
      </c>
      <c r="B1054" s="3" t="s">
        <v>3187</v>
      </c>
      <c r="C1054" s="3" t="s">
        <v>3188</v>
      </c>
      <c r="D1054" s="3" t="s">
        <v>510</v>
      </c>
      <c r="E1054" s="3" t="s">
        <v>485</v>
      </c>
      <c r="F1054" s="3" t="s">
        <v>512</v>
      </c>
      <c r="G1054" s="3" t="s">
        <v>513</v>
      </c>
      <c r="H1054" s="3" t="s">
        <v>448</v>
      </c>
      <c r="I1054" s="3" t="s">
        <v>511</v>
      </c>
      <c r="J1054" s="4">
        <v>0</v>
      </c>
      <c r="K1054" s="4">
        <v>0</v>
      </c>
      <c r="L1054" s="4">
        <v>0.132</v>
      </c>
      <c r="M1054" s="4">
        <v>0</v>
      </c>
      <c r="N1054" s="5">
        <v>600</v>
      </c>
      <c r="O1054" s="5">
        <v>0</v>
      </c>
      <c r="P1054" s="5">
        <v>0</v>
      </c>
      <c r="Q1054" s="5">
        <v>0</v>
      </c>
      <c r="R1054" s="5">
        <v>0</v>
      </c>
      <c r="S1054" s="5">
        <v>0</v>
      </c>
      <c r="T1054" s="5">
        <f t="shared" si="114"/>
        <v>600</v>
      </c>
      <c r="U1054" s="5">
        <f t="shared" si="116"/>
        <v>0</v>
      </c>
      <c r="V1054" s="5">
        <v>0</v>
      </c>
      <c r="W1054" s="5">
        <v>0</v>
      </c>
      <c r="X1054" s="5">
        <v>0</v>
      </c>
      <c r="Y1054" s="5">
        <v>600</v>
      </c>
      <c r="Z1054" s="5">
        <f t="shared" si="115"/>
        <v>600</v>
      </c>
      <c r="AA1054" s="20">
        <f t="shared" si="113"/>
        <v>0</v>
      </c>
    </row>
    <row r="1055" spans="1:27" ht="12.75">
      <c r="A1055" s="3" t="s">
        <v>1699</v>
      </c>
      <c r="B1055" s="3" t="s">
        <v>3187</v>
      </c>
      <c r="C1055" s="3" t="s">
        <v>3188</v>
      </c>
      <c r="D1055" s="3" t="s">
        <v>514</v>
      </c>
      <c r="E1055" s="3" t="s">
        <v>485</v>
      </c>
      <c r="F1055" s="3" t="s">
        <v>516</v>
      </c>
      <c r="G1055" s="3" t="s">
        <v>517</v>
      </c>
      <c r="H1055" s="3" t="s">
        <v>1592</v>
      </c>
      <c r="I1055" s="3" t="s">
        <v>515</v>
      </c>
      <c r="J1055" s="4">
        <v>0</v>
      </c>
      <c r="K1055" s="4">
        <v>0</v>
      </c>
      <c r="L1055" s="4">
        <v>0.667</v>
      </c>
      <c r="M1055" s="4">
        <v>0</v>
      </c>
      <c r="N1055" s="5">
        <v>11672</v>
      </c>
      <c r="O1055" s="5">
        <v>0</v>
      </c>
      <c r="P1055" s="5">
        <v>0</v>
      </c>
      <c r="Q1055" s="5">
        <v>0</v>
      </c>
      <c r="R1055" s="5">
        <v>0</v>
      </c>
      <c r="S1055" s="5">
        <v>0</v>
      </c>
      <c r="T1055" s="5">
        <f t="shared" si="114"/>
        <v>11672</v>
      </c>
      <c r="U1055" s="5">
        <f t="shared" si="116"/>
        <v>0</v>
      </c>
      <c r="V1055" s="5">
        <v>0</v>
      </c>
      <c r="W1055" s="5">
        <v>0</v>
      </c>
      <c r="X1055" s="5">
        <v>0</v>
      </c>
      <c r="Y1055" s="5">
        <v>11672</v>
      </c>
      <c r="Z1055" s="5">
        <f t="shared" si="115"/>
        <v>11672</v>
      </c>
      <c r="AA1055" s="20">
        <f t="shared" si="113"/>
        <v>0</v>
      </c>
    </row>
    <row r="1056" spans="1:27" ht="12.75">
      <c r="A1056" s="3" t="s">
        <v>1699</v>
      </c>
      <c r="B1056" s="3" t="s">
        <v>3187</v>
      </c>
      <c r="C1056" s="3" t="s">
        <v>3188</v>
      </c>
      <c r="D1056" s="3" t="s">
        <v>518</v>
      </c>
      <c r="E1056" s="3" t="s">
        <v>485</v>
      </c>
      <c r="F1056" s="3" t="s">
        <v>520</v>
      </c>
      <c r="G1056" s="3" t="s">
        <v>521</v>
      </c>
      <c r="H1056" s="3" t="s">
        <v>448</v>
      </c>
      <c r="I1056" s="3" t="s">
        <v>519</v>
      </c>
      <c r="J1056" s="4">
        <v>0</v>
      </c>
      <c r="K1056" s="4">
        <v>0</v>
      </c>
      <c r="L1056" s="4">
        <v>0.077</v>
      </c>
      <c r="M1056" s="4">
        <v>0.248</v>
      </c>
      <c r="N1056" s="5">
        <v>13201</v>
      </c>
      <c r="O1056" s="5">
        <v>0</v>
      </c>
      <c r="P1056" s="5">
        <v>0</v>
      </c>
      <c r="Q1056" s="5">
        <v>0</v>
      </c>
      <c r="R1056" s="5">
        <v>0</v>
      </c>
      <c r="S1056" s="5">
        <v>0</v>
      </c>
      <c r="T1056" s="5">
        <f t="shared" si="114"/>
        <v>13201</v>
      </c>
      <c r="U1056" s="5">
        <f t="shared" si="116"/>
        <v>0</v>
      </c>
      <c r="V1056" s="5">
        <v>0</v>
      </c>
      <c r="W1056" s="5">
        <v>0</v>
      </c>
      <c r="X1056" s="5">
        <v>0</v>
      </c>
      <c r="Y1056" s="5">
        <v>13201</v>
      </c>
      <c r="Z1056" s="5">
        <f t="shared" si="115"/>
        <v>13201</v>
      </c>
      <c r="AA1056" s="20">
        <f t="shared" si="113"/>
        <v>0</v>
      </c>
    </row>
    <row r="1057" spans="1:27" ht="12.75">
      <c r="A1057" s="3" t="s">
        <v>1964</v>
      </c>
      <c r="B1057" s="3" t="s">
        <v>522</v>
      </c>
      <c r="C1057" s="3" t="s">
        <v>523</v>
      </c>
      <c r="D1057" s="3" t="s">
        <v>760</v>
      </c>
      <c r="E1057" s="3" t="s">
        <v>762</v>
      </c>
      <c r="F1057" s="3" t="s">
        <v>763</v>
      </c>
      <c r="G1057" s="3" t="s">
        <v>1591</v>
      </c>
      <c r="H1057" s="3" t="s">
        <v>1592</v>
      </c>
      <c r="I1057" s="3" t="s">
        <v>903</v>
      </c>
      <c r="J1057" s="4">
        <v>0</v>
      </c>
      <c r="K1057" s="4">
        <v>0</v>
      </c>
      <c r="L1057" s="4">
        <v>0</v>
      </c>
      <c r="M1057" s="4">
        <v>0</v>
      </c>
      <c r="N1057" s="5">
        <v>0</v>
      </c>
      <c r="O1057" s="5">
        <v>0</v>
      </c>
      <c r="P1057" s="5">
        <v>0</v>
      </c>
      <c r="Q1057" s="5">
        <v>0</v>
      </c>
      <c r="R1057" s="5">
        <v>0</v>
      </c>
      <c r="S1057" s="5">
        <v>0</v>
      </c>
      <c r="T1057" s="5">
        <f t="shared" si="114"/>
        <v>0</v>
      </c>
      <c r="U1057" s="5">
        <f t="shared" si="116"/>
        <v>0</v>
      </c>
      <c r="V1057" s="5">
        <v>500</v>
      </c>
      <c r="W1057" s="5">
        <v>0</v>
      </c>
      <c r="X1057" s="5">
        <v>0</v>
      </c>
      <c r="Y1057" s="5">
        <v>500</v>
      </c>
      <c r="Z1057" s="5">
        <f t="shared" si="115"/>
        <v>500</v>
      </c>
      <c r="AA1057" s="20">
        <f t="shared" si="113"/>
        <v>0</v>
      </c>
    </row>
    <row r="1058" spans="1:27" ht="12.75">
      <c r="A1058" s="3" t="s">
        <v>1964</v>
      </c>
      <c r="B1058" s="3" t="s">
        <v>522</v>
      </c>
      <c r="C1058" s="3" t="s">
        <v>523</v>
      </c>
      <c r="D1058" s="3" t="s">
        <v>764</v>
      </c>
      <c r="E1058" s="3" t="s">
        <v>762</v>
      </c>
      <c r="F1058" s="3" t="s">
        <v>766</v>
      </c>
      <c r="G1058" s="3" t="s">
        <v>1591</v>
      </c>
      <c r="H1058" s="3" t="s">
        <v>1592</v>
      </c>
      <c r="I1058" s="3" t="s">
        <v>765</v>
      </c>
      <c r="J1058" s="4">
        <v>0</v>
      </c>
      <c r="K1058" s="4">
        <v>0</v>
      </c>
      <c r="L1058" s="4">
        <v>0</v>
      </c>
      <c r="M1058" s="4">
        <v>0</v>
      </c>
      <c r="N1058" s="5">
        <v>0</v>
      </c>
      <c r="O1058" s="5">
        <v>0</v>
      </c>
      <c r="P1058" s="5">
        <v>0</v>
      </c>
      <c r="Q1058" s="5">
        <v>0</v>
      </c>
      <c r="R1058" s="5">
        <v>0</v>
      </c>
      <c r="S1058" s="5">
        <v>0</v>
      </c>
      <c r="T1058" s="5">
        <f t="shared" si="114"/>
        <v>0</v>
      </c>
      <c r="U1058" s="5">
        <f t="shared" si="116"/>
        <v>0</v>
      </c>
      <c r="V1058" s="5">
        <v>1500</v>
      </c>
      <c r="W1058" s="5">
        <v>0</v>
      </c>
      <c r="X1058" s="5">
        <v>0</v>
      </c>
      <c r="Y1058" s="5">
        <v>1500</v>
      </c>
      <c r="Z1058" s="5">
        <f t="shared" si="115"/>
        <v>1500</v>
      </c>
      <c r="AA1058" s="20">
        <f t="shared" si="113"/>
        <v>0</v>
      </c>
    </row>
    <row r="1059" spans="1:27" ht="12.75">
      <c r="A1059" s="3" t="s">
        <v>1964</v>
      </c>
      <c r="B1059" s="3" t="s">
        <v>522</v>
      </c>
      <c r="C1059" s="3" t="s">
        <v>523</v>
      </c>
      <c r="D1059" s="3" t="s">
        <v>767</v>
      </c>
      <c r="E1059" s="3" t="s">
        <v>762</v>
      </c>
      <c r="F1059" s="3" t="s">
        <v>769</v>
      </c>
      <c r="G1059" s="3" t="s">
        <v>1591</v>
      </c>
      <c r="H1059" s="3" t="s">
        <v>1592</v>
      </c>
      <c r="I1059" s="3" t="s">
        <v>904</v>
      </c>
      <c r="J1059" s="4">
        <v>0</v>
      </c>
      <c r="K1059" s="4">
        <v>0</v>
      </c>
      <c r="L1059" s="4">
        <v>0</v>
      </c>
      <c r="M1059" s="4">
        <v>0</v>
      </c>
      <c r="N1059" s="5">
        <v>0</v>
      </c>
      <c r="O1059" s="5">
        <v>0</v>
      </c>
      <c r="P1059" s="5">
        <v>0</v>
      </c>
      <c r="Q1059" s="5">
        <v>0</v>
      </c>
      <c r="R1059" s="5">
        <v>0</v>
      </c>
      <c r="S1059" s="5">
        <v>0</v>
      </c>
      <c r="T1059" s="5">
        <f t="shared" si="114"/>
        <v>0</v>
      </c>
      <c r="U1059" s="5">
        <f t="shared" si="116"/>
        <v>0</v>
      </c>
      <c r="V1059" s="5">
        <v>1000</v>
      </c>
      <c r="W1059" s="5">
        <v>0</v>
      </c>
      <c r="X1059" s="5">
        <v>0</v>
      </c>
      <c r="Y1059" s="5">
        <v>1000</v>
      </c>
      <c r="Z1059" s="5">
        <f t="shared" si="115"/>
        <v>1000</v>
      </c>
      <c r="AA1059" s="20">
        <f t="shared" si="113"/>
        <v>0</v>
      </c>
    </row>
    <row r="1060" spans="1:27" ht="12.75">
      <c r="A1060" s="3" t="s">
        <v>1584</v>
      </c>
      <c r="B1060" s="3" t="s">
        <v>522</v>
      </c>
      <c r="C1060" s="3" t="s">
        <v>523</v>
      </c>
      <c r="D1060" s="3" t="s">
        <v>770</v>
      </c>
      <c r="E1060" s="3" t="s">
        <v>762</v>
      </c>
      <c r="F1060" s="3" t="s">
        <v>772</v>
      </c>
      <c r="G1060" s="3" t="s">
        <v>1591</v>
      </c>
      <c r="H1060" s="3" t="s">
        <v>1592</v>
      </c>
      <c r="I1060" s="3" t="s">
        <v>771</v>
      </c>
      <c r="J1060" s="4">
        <v>0</v>
      </c>
      <c r="K1060" s="4">
        <v>0</v>
      </c>
      <c r="L1060" s="4">
        <v>0</v>
      </c>
      <c r="M1060" s="4">
        <v>0</v>
      </c>
      <c r="N1060" s="5">
        <v>0</v>
      </c>
      <c r="O1060" s="5">
        <v>0</v>
      </c>
      <c r="P1060" s="5">
        <v>0</v>
      </c>
      <c r="Q1060" s="5">
        <v>0</v>
      </c>
      <c r="R1060" s="5">
        <v>0</v>
      </c>
      <c r="S1060" s="5">
        <v>0</v>
      </c>
      <c r="T1060" s="5">
        <f t="shared" si="114"/>
        <v>0</v>
      </c>
      <c r="U1060" s="5">
        <f t="shared" si="116"/>
        <v>0</v>
      </c>
      <c r="V1060" s="5">
        <v>37000</v>
      </c>
      <c r="W1060" s="5">
        <v>0</v>
      </c>
      <c r="X1060" s="5">
        <v>0</v>
      </c>
      <c r="Y1060" s="5">
        <v>37000</v>
      </c>
      <c r="Z1060" s="5">
        <f t="shared" si="115"/>
        <v>37000</v>
      </c>
      <c r="AA1060" s="20">
        <f t="shared" si="113"/>
        <v>0</v>
      </c>
    </row>
    <row r="1061" spans="1:27" ht="12.75">
      <c r="A1061" s="3" t="s">
        <v>1964</v>
      </c>
      <c r="B1061" s="3" t="s">
        <v>522</v>
      </c>
      <c r="C1061" s="3" t="s">
        <v>523</v>
      </c>
      <c r="D1061" s="3" t="s">
        <v>773</v>
      </c>
      <c r="E1061" s="3" t="s">
        <v>762</v>
      </c>
      <c r="F1061" s="3" t="s">
        <v>775</v>
      </c>
      <c r="G1061" s="3" t="s">
        <v>1591</v>
      </c>
      <c r="H1061" s="3" t="s">
        <v>1592</v>
      </c>
      <c r="I1061" s="3" t="s">
        <v>774</v>
      </c>
      <c r="J1061" s="4">
        <v>0</v>
      </c>
      <c r="K1061" s="4">
        <v>0</v>
      </c>
      <c r="L1061" s="4">
        <v>0</v>
      </c>
      <c r="M1061" s="4">
        <v>0</v>
      </c>
      <c r="N1061" s="5">
        <v>0</v>
      </c>
      <c r="O1061" s="5">
        <v>0</v>
      </c>
      <c r="P1061" s="5">
        <v>0</v>
      </c>
      <c r="Q1061" s="5">
        <v>0</v>
      </c>
      <c r="R1061" s="5">
        <v>0</v>
      </c>
      <c r="S1061" s="5">
        <v>0</v>
      </c>
      <c r="T1061" s="5">
        <f t="shared" si="114"/>
        <v>0</v>
      </c>
      <c r="U1061" s="5">
        <f t="shared" si="116"/>
        <v>0</v>
      </c>
      <c r="V1061" s="5">
        <v>12000</v>
      </c>
      <c r="W1061" s="5">
        <v>0</v>
      </c>
      <c r="X1061" s="5">
        <v>0</v>
      </c>
      <c r="Y1061" s="5">
        <v>12000</v>
      </c>
      <c r="Z1061" s="5">
        <f t="shared" si="115"/>
        <v>12000</v>
      </c>
      <c r="AA1061" s="20">
        <f t="shared" si="113"/>
        <v>0</v>
      </c>
    </row>
    <row r="1062" spans="1:27" ht="12.75">
      <c r="A1062" s="3" t="s">
        <v>1936</v>
      </c>
      <c r="B1062" s="3" t="s">
        <v>522</v>
      </c>
      <c r="C1062" s="3" t="s">
        <v>523</v>
      </c>
      <c r="D1062" s="3" t="s">
        <v>776</v>
      </c>
      <c r="E1062" s="3" t="s">
        <v>762</v>
      </c>
      <c r="F1062" s="3" t="s">
        <v>777</v>
      </c>
      <c r="G1062" s="3" t="s">
        <v>1591</v>
      </c>
      <c r="H1062" s="3" t="s">
        <v>1592</v>
      </c>
      <c r="I1062" s="3" t="s">
        <v>1947</v>
      </c>
      <c r="J1062" s="4">
        <v>0</v>
      </c>
      <c r="K1062" s="4">
        <v>0</v>
      </c>
      <c r="L1062" s="4">
        <v>0</v>
      </c>
      <c r="M1062" s="4">
        <v>0</v>
      </c>
      <c r="N1062" s="5">
        <v>0</v>
      </c>
      <c r="O1062" s="5">
        <v>0</v>
      </c>
      <c r="P1062" s="5">
        <v>0</v>
      </c>
      <c r="Q1062" s="5">
        <v>0</v>
      </c>
      <c r="R1062" s="5">
        <v>0</v>
      </c>
      <c r="S1062" s="5">
        <v>0</v>
      </c>
      <c r="T1062" s="5">
        <f t="shared" si="114"/>
        <v>0</v>
      </c>
      <c r="U1062" s="5">
        <f t="shared" si="116"/>
        <v>0</v>
      </c>
      <c r="V1062" s="5">
        <v>700</v>
      </c>
      <c r="W1062" s="5">
        <v>0</v>
      </c>
      <c r="X1062" s="5">
        <v>0</v>
      </c>
      <c r="Y1062" s="5">
        <v>700</v>
      </c>
      <c r="Z1062" s="5">
        <f t="shared" si="115"/>
        <v>700</v>
      </c>
      <c r="AA1062" s="20">
        <f t="shared" si="113"/>
        <v>0</v>
      </c>
    </row>
    <row r="1063" spans="1:27" ht="12.75">
      <c r="A1063" s="3" t="s">
        <v>1964</v>
      </c>
      <c r="B1063" s="3" t="s">
        <v>522</v>
      </c>
      <c r="C1063" s="3" t="s">
        <v>523</v>
      </c>
      <c r="D1063" s="3" t="s">
        <v>778</v>
      </c>
      <c r="E1063" s="3" t="s">
        <v>762</v>
      </c>
      <c r="F1063" s="3" t="s">
        <v>780</v>
      </c>
      <c r="G1063" s="3" t="s">
        <v>1591</v>
      </c>
      <c r="H1063" s="3" t="s">
        <v>1592</v>
      </c>
      <c r="I1063" s="3" t="s">
        <v>905</v>
      </c>
      <c r="J1063" s="4">
        <v>0</v>
      </c>
      <c r="K1063" s="4">
        <v>0</v>
      </c>
      <c r="L1063" s="4">
        <v>0</v>
      </c>
      <c r="M1063" s="4">
        <v>0</v>
      </c>
      <c r="N1063" s="5">
        <v>0</v>
      </c>
      <c r="O1063" s="5">
        <v>0</v>
      </c>
      <c r="P1063" s="5">
        <v>0</v>
      </c>
      <c r="Q1063" s="5">
        <v>0</v>
      </c>
      <c r="R1063" s="5">
        <v>0</v>
      </c>
      <c r="S1063" s="5">
        <v>0</v>
      </c>
      <c r="T1063" s="5">
        <f t="shared" si="114"/>
        <v>0</v>
      </c>
      <c r="U1063" s="5">
        <f t="shared" si="116"/>
        <v>0</v>
      </c>
      <c r="V1063" s="5">
        <v>2000</v>
      </c>
      <c r="W1063" s="5">
        <v>0</v>
      </c>
      <c r="X1063" s="5">
        <v>0</v>
      </c>
      <c r="Y1063" s="5">
        <v>2000</v>
      </c>
      <c r="Z1063" s="5">
        <f t="shared" si="115"/>
        <v>2000</v>
      </c>
      <c r="AA1063" s="20">
        <f t="shared" si="113"/>
        <v>0</v>
      </c>
    </row>
    <row r="1064" spans="1:27" ht="12.75">
      <c r="A1064" s="3" t="s">
        <v>1964</v>
      </c>
      <c r="B1064" s="3" t="s">
        <v>522</v>
      </c>
      <c r="C1064" s="3" t="s">
        <v>523</v>
      </c>
      <c r="D1064" s="3" t="s">
        <v>781</v>
      </c>
      <c r="E1064" s="3" t="s">
        <v>762</v>
      </c>
      <c r="F1064" s="3" t="s">
        <v>783</v>
      </c>
      <c r="G1064" s="3" t="s">
        <v>1591</v>
      </c>
      <c r="H1064" s="3" t="s">
        <v>1592</v>
      </c>
      <c r="I1064" s="3" t="s">
        <v>782</v>
      </c>
      <c r="J1064" s="4">
        <v>0</v>
      </c>
      <c r="K1064" s="4">
        <v>0</v>
      </c>
      <c r="L1064" s="4">
        <v>0</v>
      </c>
      <c r="M1064" s="4">
        <v>0</v>
      </c>
      <c r="N1064" s="5">
        <v>0</v>
      </c>
      <c r="O1064" s="5">
        <v>0</v>
      </c>
      <c r="P1064" s="5">
        <v>0</v>
      </c>
      <c r="Q1064" s="5">
        <v>0</v>
      </c>
      <c r="R1064" s="5">
        <v>0</v>
      </c>
      <c r="S1064" s="5">
        <v>0</v>
      </c>
      <c r="T1064" s="5">
        <f t="shared" si="114"/>
        <v>0</v>
      </c>
      <c r="U1064" s="5">
        <f t="shared" si="116"/>
        <v>0</v>
      </c>
      <c r="V1064" s="5">
        <v>1500</v>
      </c>
      <c r="W1064" s="5">
        <v>0</v>
      </c>
      <c r="X1064" s="5">
        <v>0</v>
      </c>
      <c r="Y1064" s="5">
        <v>1500</v>
      </c>
      <c r="Z1064" s="5">
        <f t="shared" si="115"/>
        <v>1500</v>
      </c>
      <c r="AA1064" s="20">
        <f t="shared" si="113"/>
        <v>0</v>
      </c>
    </row>
    <row r="1065" spans="1:27" ht="12.75">
      <c r="A1065" s="3" t="s">
        <v>1964</v>
      </c>
      <c r="B1065" s="3" t="s">
        <v>522</v>
      </c>
      <c r="C1065" s="3" t="s">
        <v>523</v>
      </c>
      <c r="D1065" s="3" t="s">
        <v>784</v>
      </c>
      <c r="E1065" s="3" t="s">
        <v>762</v>
      </c>
      <c r="F1065" s="3" t="s">
        <v>786</v>
      </c>
      <c r="G1065" s="3" t="s">
        <v>1591</v>
      </c>
      <c r="H1065" s="3" t="s">
        <v>1592</v>
      </c>
      <c r="I1065" s="3" t="s">
        <v>785</v>
      </c>
      <c r="J1065" s="4">
        <v>0</v>
      </c>
      <c r="K1065" s="4">
        <v>0</v>
      </c>
      <c r="L1065" s="4">
        <v>0</v>
      </c>
      <c r="M1065" s="4">
        <v>0</v>
      </c>
      <c r="N1065" s="5">
        <v>0</v>
      </c>
      <c r="O1065" s="5">
        <v>0</v>
      </c>
      <c r="P1065" s="5">
        <v>0</v>
      </c>
      <c r="Q1065" s="5">
        <v>0</v>
      </c>
      <c r="R1065" s="5">
        <v>0</v>
      </c>
      <c r="S1065" s="5">
        <v>0</v>
      </c>
      <c r="T1065" s="5">
        <f t="shared" si="114"/>
        <v>0</v>
      </c>
      <c r="U1065" s="5">
        <f t="shared" si="116"/>
        <v>0</v>
      </c>
      <c r="V1065" s="5">
        <v>1000</v>
      </c>
      <c r="W1065" s="5">
        <v>0</v>
      </c>
      <c r="X1065" s="5">
        <v>0</v>
      </c>
      <c r="Y1065" s="5">
        <v>1000</v>
      </c>
      <c r="Z1065" s="5">
        <f t="shared" si="115"/>
        <v>1000</v>
      </c>
      <c r="AA1065" s="20">
        <f t="shared" si="113"/>
        <v>0</v>
      </c>
    </row>
    <row r="1066" spans="1:27" ht="12.75">
      <c r="A1066" s="3" t="s">
        <v>1936</v>
      </c>
      <c r="B1066" s="3" t="s">
        <v>522</v>
      </c>
      <c r="C1066" s="3" t="s">
        <v>523</v>
      </c>
      <c r="D1066" s="3" t="s">
        <v>787</v>
      </c>
      <c r="E1066" s="3" t="s">
        <v>762</v>
      </c>
      <c r="F1066" s="3" t="s">
        <v>789</v>
      </c>
      <c r="G1066" s="3" t="s">
        <v>1591</v>
      </c>
      <c r="H1066" s="3" t="s">
        <v>1592</v>
      </c>
      <c r="I1066" s="3" t="s">
        <v>906</v>
      </c>
      <c r="J1066" s="4">
        <v>0</v>
      </c>
      <c r="K1066" s="4">
        <v>0</v>
      </c>
      <c r="L1066" s="4">
        <v>0</v>
      </c>
      <c r="M1066" s="4">
        <v>0</v>
      </c>
      <c r="N1066" s="5">
        <v>0</v>
      </c>
      <c r="O1066" s="5">
        <v>0</v>
      </c>
      <c r="P1066" s="5">
        <v>0</v>
      </c>
      <c r="Q1066" s="5">
        <v>0</v>
      </c>
      <c r="R1066" s="5">
        <v>0</v>
      </c>
      <c r="S1066" s="5">
        <v>0</v>
      </c>
      <c r="T1066" s="5">
        <f t="shared" si="114"/>
        <v>0</v>
      </c>
      <c r="U1066" s="5">
        <f t="shared" si="116"/>
        <v>0</v>
      </c>
      <c r="V1066" s="5">
        <v>7500</v>
      </c>
      <c r="W1066" s="5">
        <v>0</v>
      </c>
      <c r="X1066" s="5">
        <v>0</v>
      </c>
      <c r="Y1066" s="5">
        <v>7500</v>
      </c>
      <c r="Z1066" s="5">
        <f t="shared" si="115"/>
        <v>7500</v>
      </c>
      <c r="AA1066" s="20">
        <f t="shared" si="113"/>
        <v>0</v>
      </c>
    </row>
    <row r="1067" spans="1:27" ht="12.75">
      <c r="A1067" s="3" t="s">
        <v>1964</v>
      </c>
      <c r="B1067" s="3" t="s">
        <v>522</v>
      </c>
      <c r="C1067" s="3" t="s">
        <v>523</v>
      </c>
      <c r="D1067" s="3" t="s">
        <v>790</v>
      </c>
      <c r="E1067" s="3" t="s">
        <v>762</v>
      </c>
      <c r="F1067" s="3" t="s">
        <v>792</v>
      </c>
      <c r="G1067" s="3" t="s">
        <v>1591</v>
      </c>
      <c r="H1067" s="3" t="s">
        <v>1592</v>
      </c>
      <c r="I1067" s="3" t="s">
        <v>791</v>
      </c>
      <c r="J1067" s="4">
        <v>0</v>
      </c>
      <c r="K1067" s="4">
        <v>0</v>
      </c>
      <c r="L1067" s="4">
        <v>0</v>
      </c>
      <c r="M1067" s="4">
        <v>0</v>
      </c>
      <c r="N1067" s="5">
        <v>0</v>
      </c>
      <c r="O1067" s="5">
        <v>0</v>
      </c>
      <c r="P1067" s="5">
        <v>0</v>
      </c>
      <c r="Q1067" s="5">
        <v>0</v>
      </c>
      <c r="R1067" s="5">
        <v>0</v>
      </c>
      <c r="S1067" s="5">
        <v>0</v>
      </c>
      <c r="T1067" s="5">
        <f t="shared" si="114"/>
        <v>0</v>
      </c>
      <c r="U1067" s="5">
        <f t="shared" si="116"/>
        <v>0</v>
      </c>
      <c r="V1067" s="5">
        <v>5000</v>
      </c>
      <c r="W1067" s="5">
        <v>0</v>
      </c>
      <c r="X1067" s="5">
        <v>0</v>
      </c>
      <c r="Y1067" s="5">
        <v>5000</v>
      </c>
      <c r="Z1067" s="5">
        <f t="shared" si="115"/>
        <v>5000</v>
      </c>
      <c r="AA1067" s="20">
        <f t="shared" si="113"/>
        <v>0</v>
      </c>
    </row>
    <row r="1068" spans="1:27" ht="12.75">
      <c r="A1068" s="3" t="s">
        <v>1964</v>
      </c>
      <c r="B1068" s="3" t="s">
        <v>522</v>
      </c>
      <c r="C1068" s="3" t="s">
        <v>523</v>
      </c>
      <c r="D1068" s="3" t="s">
        <v>793</v>
      </c>
      <c r="E1068" s="3" t="s">
        <v>762</v>
      </c>
      <c r="F1068" s="3" t="s">
        <v>795</v>
      </c>
      <c r="G1068" s="3" t="s">
        <v>1591</v>
      </c>
      <c r="H1068" s="3" t="s">
        <v>1592</v>
      </c>
      <c r="I1068" s="3" t="s">
        <v>794</v>
      </c>
      <c r="J1068" s="4">
        <v>0</v>
      </c>
      <c r="K1068" s="4">
        <v>0</v>
      </c>
      <c r="L1068" s="4">
        <v>0</v>
      </c>
      <c r="M1068" s="4">
        <v>0</v>
      </c>
      <c r="N1068" s="5">
        <v>0</v>
      </c>
      <c r="O1068" s="5">
        <v>0</v>
      </c>
      <c r="P1068" s="5">
        <v>0</v>
      </c>
      <c r="Q1068" s="5">
        <v>0</v>
      </c>
      <c r="R1068" s="5">
        <v>0</v>
      </c>
      <c r="S1068" s="5">
        <v>0</v>
      </c>
      <c r="T1068" s="5">
        <f t="shared" si="114"/>
        <v>0</v>
      </c>
      <c r="U1068" s="5">
        <f t="shared" si="116"/>
        <v>0</v>
      </c>
      <c r="V1068" s="5">
        <v>1000</v>
      </c>
      <c r="W1068" s="5">
        <v>0</v>
      </c>
      <c r="X1068" s="5">
        <v>0</v>
      </c>
      <c r="Y1068" s="5">
        <v>1000</v>
      </c>
      <c r="Z1068" s="5">
        <f t="shared" si="115"/>
        <v>1000</v>
      </c>
      <c r="AA1068" s="20">
        <f t="shared" si="113"/>
        <v>0</v>
      </c>
    </row>
    <row r="1069" spans="1:27" ht="12.75">
      <c r="A1069" s="3" t="s">
        <v>1964</v>
      </c>
      <c r="B1069" s="3" t="s">
        <v>522</v>
      </c>
      <c r="C1069" s="3" t="s">
        <v>523</v>
      </c>
      <c r="D1069" s="3" t="s">
        <v>796</v>
      </c>
      <c r="E1069" s="3" t="s">
        <v>762</v>
      </c>
      <c r="F1069" s="3" t="s">
        <v>798</v>
      </c>
      <c r="G1069" s="3" t="s">
        <v>1591</v>
      </c>
      <c r="H1069" s="3" t="s">
        <v>1592</v>
      </c>
      <c r="I1069" s="3" t="s">
        <v>797</v>
      </c>
      <c r="J1069" s="4">
        <v>0</v>
      </c>
      <c r="K1069" s="4">
        <v>0</v>
      </c>
      <c r="L1069" s="4">
        <v>0</v>
      </c>
      <c r="M1069" s="4">
        <v>0</v>
      </c>
      <c r="N1069" s="5">
        <v>0</v>
      </c>
      <c r="O1069" s="5">
        <v>0</v>
      </c>
      <c r="P1069" s="5">
        <v>0</v>
      </c>
      <c r="Q1069" s="5">
        <v>0</v>
      </c>
      <c r="R1069" s="5">
        <v>0</v>
      </c>
      <c r="S1069" s="5">
        <v>0</v>
      </c>
      <c r="T1069" s="5">
        <f t="shared" si="114"/>
        <v>0</v>
      </c>
      <c r="U1069" s="5">
        <f t="shared" si="116"/>
        <v>0</v>
      </c>
      <c r="V1069" s="5">
        <v>4500</v>
      </c>
      <c r="W1069" s="5">
        <v>0</v>
      </c>
      <c r="X1069" s="5">
        <v>0</v>
      </c>
      <c r="Y1069" s="5">
        <v>4500</v>
      </c>
      <c r="Z1069" s="5">
        <f t="shared" si="115"/>
        <v>4500</v>
      </c>
      <c r="AA1069" s="20">
        <f t="shared" si="113"/>
        <v>0</v>
      </c>
    </row>
    <row r="1070" spans="1:27" ht="12.75">
      <c r="A1070" s="3" t="s">
        <v>1852</v>
      </c>
      <c r="B1070" s="3" t="s">
        <v>522</v>
      </c>
      <c r="C1070" s="3" t="s">
        <v>523</v>
      </c>
      <c r="D1070" s="3" t="s">
        <v>799</v>
      </c>
      <c r="E1070" s="3" t="s">
        <v>762</v>
      </c>
      <c r="F1070" s="3" t="s">
        <v>801</v>
      </c>
      <c r="G1070" s="3" t="s">
        <v>1591</v>
      </c>
      <c r="H1070" s="3" t="s">
        <v>1592</v>
      </c>
      <c r="I1070" s="3" t="s">
        <v>800</v>
      </c>
      <c r="J1070" s="4">
        <v>0</v>
      </c>
      <c r="K1070" s="4">
        <v>0.006</v>
      </c>
      <c r="L1070" s="4">
        <v>0</v>
      </c>
      <c r="M1070" s="4">
        <v>0</v>
      </c>
      <c r="N1070" s="5">
        <v>500</v>
      </c>
      <c r="O1070" s="5">
        <v>0</v>
      </c>
      <c r="P1070" s="5">
        <v>0</v>
      </c>
      <c r="Q1070" s="5">
        <v>0</v>
      </c>
      <c r="R1070" s="5">
        <v>1800</v>
      </c>
      <c r="S1070" s="5">
        <v>500</v>
      </c>
      <c r="T1070" s="5">
        <f t="shared" si="114"/>
        <v>2300</v>
      </c>
      <c r="U1070" s="5">
        <v>10000</v>
      </c>
      <c r="V1070" s="5">
        <v>1000</v>
      </c>
      <c r="W1070" s="5">
        <v>0</v>
      </c>
      <c r="X1070" s="5">
        <v>7000</v>
      </c>
      <c r="Y1070" s="5">
        <v>20300</v>
      </c>
      <c r="Z1070" s="5">
        <f t="shared" si="115"/>
        <v>20300</v>
      </c>
      <c r="AA1070" s="20">
        <f t="shared" si="113"/>
        <v>0</v>
      </c>
    </row>
    <row r="1071" spans="1:27" ht="12.75">
      <c r="A1071" s="3" t="s">
        <v>1964</v>
      </c>
      <c r="B1071" s="3" t="s">
        <v>522</v>
      </c>
      <c r="C1071" s="3" t="s">
        <v>523</v>
      </c>
      <c r="D1071" s="3" t="s">
        <v>802</v>
      </c>
      <c r="E1071" s="3" t="s">
        <v>762</v>
      </c>
      <c r="F1071" s="3" t="s">
        <v>804</v>
      </c>
      <c r="G1071" s="3" t="s">
        <v>1591</v>
      </c>
      <c r="H1071" s="3" t="s">
        <v>1592</v>
      </c>
      <c r="I1071" s="3" t="s">
        <v>803</v>
      </c>
      <c r="J1071" s="4">
        <v>0</v>
      </c>
      <c r="K1071" s="4">
        <v>0</v>
      </c>
      <c r="L1071" s="4">
        <v>0</v>
      </c>
      <c r="M1071" s="4">
        <v>0</v>
      </c>
      <c r="N1071" s="5">
        <v>0</v>
      </c>
      <c r="O1071" s="5">
        <v>0</v>
      </c>
      <c r="P1071" s="5">
        <v>0</v>
      </c>
      <c r="Q1071" s="5">
        <v>0</v>
      </c>
      <c r="R1071" s="5">
        <v>0</v>
      </c>
      <c r="S1071" s="5">
        <v>0</v>
      </c>
      <c r="T1071" s="5">
        <f t="shared" si="114"/>
        <v>0</v>
      </c>
      <c r="U1071" s="5" t="s">
        <v>2540</v>
      </c>
      <c r="V1071" s="5">
        <v>2000</v>
      </c>
      <c r="W1071" s="5">
        <v>0</v>
      </c>
      <c r="X1071" s="5">
        <v>0</v>
      </c>
      <c r="Y1071" s="5">
        <v>2000</v>
      </c>
      <c r="Z1071" s="5">
        <f t="shared" si="115"/>
        <v>2000</v>
      </c>
      <c r="AA1071" s="20">
        <f t="shared" si="113"/>
        <v>0</v>
      </c>
    </row>
    <row r="1072" spans="1:27" ht="12.75">
      <c r="A1072" s="3" t="s">
        <v>1964</v>
      </c>
      <c r="B1072" s="3" t="s">
        <v>522</v>
      </c>
      <c r="C1072" s="3" t="s">
        <v>523</v>
      </c>
      <c r="D1072" s="3" t="s">
        <v>805</v>
      </c>
      <c r="E1072" s="3" t="s">
        <v>762</v>
      </c>
      <c r="F1072" s="3" t="s">
        <v>807</v>
      </c>
      <c r="G1072" s="3" t="s">
        <v>1591</v>
      </c>
      <c r="H1072" s="3" t="s">
        <v>1592</v>
      </c>
      <c r="I1072" s="3" t="s">
        <v>806</v>
      </c>
      <c r="J1072" s="4">
        <v>0</v>
      </c>
      <c r="K1072" s="4">
        <v>0</v>
      </c>
      <c r="L1072" s="4">
        <v>0</v>
      </c>
      <c r="M1072" s="4">
        <v>0</v>
      </c>
      <c r="N1072" s="5">
        <v>0</v>
      </c>
      <c r="O1072" s="5">
        <v>0</v>
      </c>
      <c r="P1072" s="5">
        <v>0</v>
      </c>
      <c r="Q1072" s="5">
        <v>0</v>
      </c>
      <c r="R1072" s="5">
        <v>0</v>
      </c>
      <c r="S1072" s="5">
        <v>0</v>
      </c>
      <c r="T1072" s="5">
        <f t="shared" si="114"/>
        <v>0</v>
      </c>
      <c r="U1072" s="5">
        <f aca="true" t="shared" si="117" ref="U1072:U1081">SUM(S1072:S1072)</f>
        <v>0</v>
      </c>
      <c r="V1072" s="5">
        <v>6000</v>
      </c>
      <c r="W1072" s="5">
        <v>0</v>
      </c>
      <c r="X1072" s="5">
        <v>0</v>
      </c>
      <c r="Y1072" s="5">
        <v>6000</v>
      </c>
      <c r="Z1072" s="5">
        <f t="shared" si="115"/>
        <v>6000</v>
      </c>
      <c r="AA1072" s="20">
        <f t="shared" si="113"/>
        <v>0</v>
      </c>
    </row>
    <row r="1073" spans="1:27" ht="12.75">
      <c r="A1073" s="3" t="s">
        <v>1964</v>
      </c>
      <c r="B1073" s="3" t="s">
        <v>522</v>
      </c>
      <c r="C1073" s="3" t="s">
        <v>523</v>
      </c>
      <c r="D1073" s="3" t="s">
        <v>808</v>
      </c>
      <c r="E1073" s="3" t="s">
        <v>762</v>
      </c>
      <c r="F1073" s="3" t="s">
        <v>810</v>
      </c>
      <c r="G1073" s="3" t="s">
        <v>1591</v>
      </c>
      <c r="H1073" s="3" t="s">
        <v>1592</v>
      </c>
      <c r="I1073" s="3" t="s">
        <v>907</v>
      </c>
      <c r="J1073" s="4">
        <v>0</v>
      </c>
      <c r="K1073" s="4">
        <v>0</v>
      </c>
      <c r="L1073" s="4">
        <v>0</v>
      </c>
      <c r="M1073" s="4">
        <v>0</v>
      </c>
      <c r="N1073" s="5">
        <v>0</v>
      </c>
      <c r="O1073" s="5">
        <v>0</v>
      </c>
      <c r="P1073" s="5">
        <v>0</v>
      </c>
      <c r="Q1073" s="5">
        <v>0</v>
      </c>
      <c r="R1073" s="5">
        <v>0</v>
      </c>
      <c r="S1073" s="5">
        <v>0</v>
      </c>
      <c r="T1073" s="5">
        <f t="shared" si="114"/>
        <v>0</v>
      </c>
      <c r="U1073" s="5">
        <f t="shared" si="117"/>
        <v>0</v>
      </c>
      <c r="V1073" s="5">
        <v>500</v>
      </c>
      <c r="W1073" s="5">
        <v>0</v>
      </c>
      <c r="X1073" s="5">
        <v>0</v>
      </c>
      <c r="Y1073" s="5">
        <v>500</v>
      </c>
      <c r="Z1073" s="5">
        <f t="shared" si="115"/>
        <v>500</v>
      </c>
      <c r="AA1073" s="20">
        <f t="shared" si="113"/>
        <v>0</v>
      </c>
    </row>
    <row r="1074" spans="1:27" ht="12.75">
      <c r="A1074" s="3" t="s">
        <v>1964</v>
      </c>
      <c r="B1074" s="3" t="s">
        <v>522</v>
      </c>
      <c r="C1074" s="3" t="s">
        <v>523</v>
      </c>
      <c r="D1074" s="3" t="s">
        <v>811</v>
      </c>
      <c r="E1074" s="3" t="s">
        <v>762</v>
      </c>
      <c r="F1074" s="3" t="s">
        <v>813</v>
      </c>
      <c r="G1074" s="3" t="s">
        <v>1591</v>
      </c>
      <c r="H1074" s="3" t="s">
        <v>1592</v>
      </c>
      <c r="I1074" s="3" t="s">
        <v>812</v>
      </c>
      <c r="J1074" s="4">
        <v>0</v>
      </c>
      <c r="K1074" s="4">
        <v>0</v>
      </c>
      <c r="L1074" s="4">
        <v>0</v>
      </c>
      <c r="M1074" s="4">
        <v>0</v>
      </c>
      <c r="N1074" s="5">
        <v>0</v>
      </c>
      <c r="O1074" s="5">
        <v>0</v>
      </c>
      <c r="P1074" s="5">
        <v>0</v>
      </c>
      <c r="Q1074" s="5">
        <v>0</v>
      </c>
      <c r="R1074" s="5">
        <v>0</v>
      </c>
      <c r="S1074" s="5">
        <v>0</v>
      </c>
      <c r="T1074" s="5">
        <f t="shared" si="114"/>
        <v>0</v>
      </c>
      <c r="U1074" s="5">
        <f t="shared" si="117"/>
        <v>0</v>
      </c>
      <c r="V1074" s="5">
        <v>1250</v>
      </c>
      <c r="W1074" s="5">
        <v>0</v>
      </c>
      <c r="X1074" s="5">
        <v>0</v>
      </c>
      <c r="Y1074" s="5">
        <v>1250</v>
      </c>
      <c r="Z1074" s="5">
        <f t="shared" si="115"/>
        <v>1250</v>
      </c>
      <c r="AA1074" s="20">
        <f t="shared" si="113"/>
        <v>0</v>
      </c>
    </row>
    <row r="1075" spans="1:27" ht="12.75">
      <c r="A1075" s="3" t="s">
        <v>1871</v>
      </c>
      <c r="B1075" s="3" t="s">
        <v>522</v>
      </c>
      <c r="C1075" s="3" t="s">
        <v>523</v>
      </c>
      <c r="D1075" s="3" t="s">
        <v>814</v>
      </c>
      <c r="E1075" s="3" t="s">
        <v>762</v>
      </c>
      <c r="F1075" s="3" t="s">
        <v>816</v>
      </c>
      <c r="G1075" s="3" t="s">
        <v>1591</v>
      </c>
      <c r="H1075" s="3" t="s">
        <v>1592</v>
      </c>
      <c r="I1075" s="3" t="s">
        <v>815</v>
      </c>
      <c r="J1075" s="4">
        <v>0</v>
      </c>
      <c r="K1075" s="4">
        <v>0</v>
      </c>
      <c r="L1075" s="4">
        <v>0</v>
      </c>
      <c r="M1075" s="4">
        <v>0</v>
      </c>
      <c r="N1075" s="5">
        <v>0</v>
      </c>
      <c r="O1075" s="5">
        <v>0</v>
      </c>
      <c r="P1075" s="5">
        <v>0</v>
      </c>
      <c r="Q1075" s="5">
        <v>0</v>
      </c>
      <c r="R1075" s="5">
        <v>0</v>
      </c>
      <c r="S1075" s="5">
        <v>0</v>
      </c>
      <c r="T1075" s="5">
        <f t="shared" si="114"/>
        <v>0</v>
      </c>
      <c r="U1075" s="5">
        <f t="shared" si="117"/>
        <v>0</v>
      </c>
      <c r="V1075" s="5">
        <v>2000</v>
      </c>
      <c r="W1075" s="5">
        <v>0</v>
      </c>
      <c r="X1075" s="5">
        <v>0</v>
      </c>
      <c r="Y1075" s="5">
        <v>2000</v>
      </c>
      <c r="Z1075" s="5">
        <f t="shared" si="115"/>
        <v>2000</v>
      </c>
      <c r="AA1075" s="20">
        <f t="shared" si="113"/>
        <v>0</v>
      </c>
    </row>
    <row r="1076" spans="1:27" ht="12.75">
      <c r="A1076" s="3" t="s">
        <v>1964</v>
      </c>
      <c r="B1076" s="3" t="s">
        <v>522</v>
      </c>
      <c r="C1076" s="3" t="s">
        <v>523</v>
      </c>
      <c r="D1076" s="3" t="s">
        <v>817</v>
      </c>
      <c r="E1076" s="3" t="s">
        <v>762</v>
      </c>
      <c r="F1076" s="3" t="s">
        <v>819</v>
      </c>
      <c r="G1076" s="3" t="s">
        <v>1591</v>
      </c>
      <c r="H1076" s="3" t="s">
        <v>1592</v>
      </c>
      <c r="I1076" s="3" t="s">
        <v>908</v>
      </c>
      <c r="J1076" s="4">
        <v>0</v>
      </c>
      <c r="K1076" s="4">
        <v>0</v>
      </c>
      <c r="L1076" s="4">
        <v>0</v>
      </c>
      <c r="M1076" s="4">
        <v>0</v>
      </c>
      <c r="N1076" s="5">
        <v>0</v>
      </c>
      <c r="O1076" s="5">
        <v>0</v>
      </c>
      <c r="P1076" s="5">
        <v>0</v>
      </c>
      <c r="Q1076" s="5">
        <v>0</v>
      </c>
      <c r="R1076" s="5">
        <v>0</v>
      </c>
      <c r="S1076" s="5">
        <v>0</v>
      </c>
      <c r="T1076" s="5">
        <f t="shared" si="114"/>
        <v>0</v>
      </c>
      <c r="U1076" s="5">
        <f t="shared" si="117"/>
        <v>0</v>
      </c>
      <c r="V1076" s="5">
        <v>1000</v>
      </c>
      <c r="W1076" s="5">
        <v>0</v>
      </c>
      <c r="X1076" s="5">
        <v>0</v>
      </c>
      <c r="Y1076" s="5">
        <v>1000</v>
      </c>
      <c r="Z1076" s="5">
        <f t="shared" si="115"/>
        <v>1000</v>
      </c>
      <c r="AA1076" s="20">
        <f t="shared" si="113"/>
        <v>0</v>
      </c>
    </row>
    <row r="1077" spans="1:27" ht="12.75">
      <c r="A1077" s="3" t="s">
        <v>1964</v>
      </c>
      <c r="B1077" s="3" t="s">
        <v>522</v>
      </c>
      <c r="C1077" s="3" t="s">
        <v>523</v>
      </c>
      <c r="D1077" s="3" t="s">
        <v>820</v>
      </c>
      <c r="E1077" s="3" t="s">
        <v>762</v>
      </c>
      <c r="F1077" s="3" t="s">
        <v>822</v>
      </c>
      <c r="G1077" s="3" t="s">
        <v>1591</v>
      </c>
      <c r="H1077" s="3" t="s">
        <v>1592</v>
      </c>
      <c r="I1077" s="3" t="s">
        <v>821</v>
      </c>
      <c r="J1077" s="4">
        <v>0</v>
      </c>
      <c r="K1077" s="4">
        <v>0</v>
      </c>
      <c r="L1077" s="4">
        <v>0</v>
      </c>
      <c r="M1077" s="4">
        <v>0</v>
      </c>
      <c r="N1077" s="5">
        <v>0</v>
      </c>
      <c r="O1077" s="5">
        <v>0</v>
      </c>
      <c r="P1077" s="5">
        <v>0</v>
      </c>
      <c r="Q1077" s="5">
        <v>0</v>
      </c>
      <c r="R1077" s="5">
        <v>0</v>
      </c>
      <c r="S1077" s="5">
        <v>0</v>
      </c>
      <c r="T1077" s="5">
        <f t="shared" si="114"/>
        <v>0</v>
      </c>
      <c r="U1077" s="5">
        <f t="shared" si="117"/>
        <v>0</v>
      </c>
      <c r="V1077" s="5">
        <v>750</v>
      </c>
      <c r="W1077" s="5">
        <v>0</v>
      </c>
      <c r="X1077" s="5">
        <v>0</v>
      </c>
      <c r="Y1077" s="5">
        <v>750</v>
      </c>
      <c r="Z1077" s="5">
        <f t="shared" si="115"/>
        <v>750</v>
      </c>
      <c r="AA1077" s="20">
        <f t="shared" si="113"/>
        <v>0</v>
      </c>
    </row>
    <row r="1078" spans="1:27" ht="12.75">
      <c r="A1078" s="3" t="s">
        <v>1964</v>
      </c>
      <c r="B1078" s="3" t="s">
        <v>522</v>
      </c>
      <c r="C1078" s="3" t="s">
        <v>523</v>
      </c>
      <c r="D1078" s="3" t="s">
        <v>823</v>
      </c>
      <c r="E1078" s="3" t="s">
        <v>762</v>
      </c>
      <c r="F1078" s="3" t="s">
        <v>825</v>
      </c>
      <c r="G1078" s="3" t="s">
        <v>1591</v>
      </c>
      <c r="H1078" s="3" t="s">
        <v>1592</v>
      </c>
      <c r="I1078" s="3" t="s">
        <v>824</v>
      </c>
      <c r="J1078" s="4">
        <v>0</v>
      </c>
      <c r="K1078" s="4">
        <v>0</v>
      </c>
      <c r="L1078" s="4">
        <v>0</v>
      </c>
      <c r="M1078" s="4">
        <v>0</v>
      </c>
      <c r="N1078" s="5">
        <v>0</v>
      </c>
      <c r="O1078" s="5">
        <v>0</v>
      </c>
      <c r="P1078" s="5">
        <v>0</v>
      </c>
      <c r="Q1078" s="5">
        <v>0</v>
      </c>
      <c r="R1078" s="5">
        <v>0</v>
      </c>
      <c r="S1078" s="5">
        <v>0</v>
      </c>
      <c r="T1078" s="5">
        <f t="shared" si="114"/>
        <v>0</v>
      </c>
      <c r="U1078" s="5">
        <f t="shared" si="117"/>
        <v>0</v>
      </c>
      <c r="V1078" s="5">
        <v>6000</v>
      </c>
      <c r="W1078" s="5">
        <v>0</v>
      </c>
      <c r="X1078" s="5">
        <v>0</v>
      </c>
      <c r="Y1078" s="5">
        <v>6000</v>
      </c>
      <c r="Z1078" s="5">
        <f t="shared" si="115"/>
        <v>6000</v>
      </c>
      <c r="AA1078" s="20">
        <f t="shared" si="113"/>
        <v>0</v>
      </c>
    </row>
    <row r="1079" spans="1:27" ht="12.75">
      <c r="A1079" s="3" t="s">
        <v>1964</v>
      </c>
      <c r="B1079" s="3" t="s">
        <v>522</v>
      </c>
      <c r="C1079" s="3" t="s">
        <v>523</v>
      </c>
      <c r="D1079" s="3" t="s">
        <v>826</v>
      </c>
      <c r="E1079" s="3" t="s">
        <v>762</v>
      </c>
      <c r="F1079" s="3" t="s">
        <v>828</v>
      </c>
      <c r="G1079" s="3" t="s">
        <v>1591</v>
      </c>
      <c r="H1079" s="3" t="s">
        <v>1592</v>
      </c>
      <c r="I1079" s="3" t="s">
        <v>827</v>
      </c>
      <c r="J1079" s="4">
        <v>0</v>
      </c>
      <c r="K1079" s="4">
        <v>0</v>
      </c>
      <c r="L1079" s="4">
        <v>0</v>
      </c>
      <c r="M1079" s="4">
        <v>0</v>
      </c>
      <c r="N1079" s="5">
        <v>0</v>
      </c>
      <c r="O1079" s="5">
        <v>0</v>
      </c>
      <c r="P1079" s="5">
        <v>0</v>
      </c>
      <c r="Q1079" s="5">
        <v>0</v>
      </c>
      <c r="R1079" s="5">
        <v>0</v>
      </c>
      <c r="S1079" s="5">
        <v>0</v>
      </c>
      <c r="T1079" s="5">
        <f t="shared" si="114"/>
        <v>0</v>
      </c>
      <c r="U1079" s="5">
        <f t="shared" si="117"/>
        <v>0</v>
      </c>
      <c r="V1079" s="5">
        <v>6500</v>
      </c>
      <c r="W1079" s="5">
        <v>0</v>
      </c>
      <c r="X1079" s="5">
        <v>0</v>
      </c>
      <c r="Y1079" s="5">
        <v>6500</v>
      </c>
      <c r="Z1079" s="5">
        <f t="shared" si="115"/>
        <v>6500</v>
      </c>
      <c r="AA1079" s="20">
        <f t="shared" si="113"/>
        <v>0</v>
      </c>
    </row>
    <row r="1080" spans="1:27" ht="12.75">
      <c r="A1080" s="3" t="s">
        <v>2874</v>
      </c>
      <c r="B1080" s="3" t="s">
        <v>522</v>
      </c>
      <c r="C1080" s="3" t="s">
        <v>523</v>
      </c>
      <c r="D1080" s="3" t="s">
        <v>829</v>
      </c>
      <c r="E1080" s="3" t="s">
        <v>831</v>
      </c>
      <c r="F1080" s="3" t="s">
        <v>832</v>
      </c>
      <c r="G1080" s="3" t="s">
        <v>1591</v>
      </c>
      <c r="H1080" s="3" t="s">
        <v>1592</v>
      </c>
      <c r="I1080" s="3" t="s">
        <v>909</v>
      </c>
      <c r="J1080" s="4">
        <v>0</v>
      </c>
      <c r="K1080" s="4">
        <v>0.312</v>
      </c>
      <c r="L1080" s="4">
        <v>0</v>
      </c>
      <c r="M1080" s="4">
        <v>0</v>
      </c>
      <c r="N1080" s="5">
        <v>30000</v>
      </c>
      <c r="O1080" s="5">
        <v>0</v>
      </c>
      <c r="P1080" s="5">
        <v>0</v>
      </c>
      <c r="Q1080" s="5">
        <v>0</v>
      </c>
      <c r="R1080" s="5">
        <v>0</v>
      </c>
      <c r="S1080" s="5">
        <v>0</v>
      </c>
      <c r="T1080" s="5">
        <f t="shared" si="114"/>
        <v>30000</v>
      </c>
      <c r="U1080" s="5">
        <f t="shared" si="117"/>
        <v>0</v>
      </c>
      <c r="V1080" s="5">
        <v>0</v>
      </c>
      <c r="W1080" s="5">
        <v>0</v>
      </c>
      <c r="X1080" s="5">
        <v>0</v>
      </c>
      <c r="Y1080" s="5">
        <v>30000</v>
      </c>
      <c r="Z1080" s="5">
        <f t="shared" si="115"/>
        <v>30000</v>
      </c>
      <c r="AA1080" s="20">
        <f t="shared" si="113"/>
        <v>0</v>
      </c>
    </row>
    <row r="1081" spans="1:27" ht="12.75">
      <c r="A1081" s="3" t="s">
        <v>1842</v>
      </c>
      <c r="B1081" s="3" t="s">
        <v>522</v>
      </c>
      <c r="C1081" s="3" t="s">
        <v>523</v>
      </c>
      <c r="D1081" s="3" t="s">
        <v>833</v>
      </c>
      <c r="E1081" s="3" t="s">
        <v>831</v>
      </c>
      <c r="F1081" s="3" t="s">
        <v>835</v>
      </c>
      <c r="G1081" s="3" t="s">
        <v>1591</v>
      </c>
      <c r="H1081" s="3" t="s">
        <v>1592</v>
      </c>
      <c r="I1081" s="3" t="s">
        <v>910</v>
      </c>
      <c r="J1081" s="4">
        <v>0</v>
      </c>
      <c r="K1081" s="4">
        <v>1</v>
      </c>
      <c r="L1081" s="4">
        <v>0</v>
      </c>
      <c r="M1081" s="4">
        <v>0</v>
      </c>
      <c r="N1081" s="5">
        <v>28944</v>
      </c>
      <c r="O1081" s="5">
        <v>0</v>
      </c>
      <c r="P1081" s="5">
        <v>0</v>
      </c>
      <c r="Q1081" s="5">
        <v>0</v>
      </c>
      <c r="R1081" s="5">
        <v>0</v>
      </c>
      <c r="S1081" s="5">
        <v>0</v>
      </c>
      <c r="T1081" s="5">
        <f t="shared" si="114"/>
        <v>28944</v>
      </c>
      <c r="U1081" s="5">
        <f t="shared" si="117"/>
        <v>0</v>
      </c>
      <c r="V1081" s="5">
        <v>0</v>
      </c>
      <c r="W1081" s="5">
        <v>0</v>
      </c>
      <c r="X1081" s="5">
        <v>0</v>
      </c>
      <c r="Y1081" s="5">
        <v>28944</v>
      </c>
      <c r="Z1081" s="5">
        <f t="shared" si="115"/>
        <v>28944</v>
      </c>
      <c r="AA1081" s="20">
        <f t="shared" si="113"/>
        <v>0</v>
      </c>
    </row>
    <row r="1082" spans="1:27" ht="12.75">
      <c r="A1082" s="3" t="s">
        <v>1964</v>
      </c>
      <c r="B1082" s="3" t="s">
        <v>522</v>
      </c>
      <c r="C1082" s="3" t="s">
        <v>523</v>
      </c>
      <c r="D1082" s="3" t="s">
        <v>836</v>
      </c>
      <c r="E1082" s="3" t="s">
        <v>831</v>
      </c>
      <c r="F1082" s="3" t="s">
        <v>838</v>
      </c>
      <c r="G1082" s="3" t="s">
        <v>1591</v>
      </c>
      <c r="H1082" s="3" t="s">
        <v>1592</v>
      </c>
      <c r="I1082" s="3" t="s">
        <v>665</v>
      </c>
      <c r="J1082" s="4">
        <v>0</v>
      </c>
      <c r="K1082" s="4">
        <v>0</v>
      </c>
      <c r="L1082" s="4">
        <v>0</v>
      </c>
      <c r="M1082" s="4">
        <v>0</v>
      </c>
      <c r="N1082" s="5">
        <v>0</v>
      </c>
      <c r="O1082" s="5">
        <v>6771</v>
      </c>
      <c r="P1082" s="5">
        <v>0</v>
      </c>
      <c r="Q1082" s="5">
        <v>0</v>
      </c>
      <c r="R1082" s="5">
        <v>0</v>
      </c>
      <c r="S1082" s="5">
        <v>0</v>
      </c>
      <c r="T1082" s="5">
        <f t="shared" si="114"/>
        <v>6771</v>
      </c>
      <c r="U1082" s="5">
        <v>1000</v>
      </c>
      <c r="V1082" s="5">
        <v>0</v>
      </c>
      <c r="W1082" s="5">
        <v>0</v>
      </c>
      <c r="X1082" s="5">
        <v>500</v>
      </c>
      <c r="Y1082" s="5">
        <v>8271</v>
      </c>
      <c r="Z1082" s="5">
        <f t="shared" si="115"/>
        <v>8271</v>
      </c>
      <c r="AA1082" s="20">
        <f t="shared" si="113"/>
        <v>0</v>
      </c>
    </row>
    <row r="1083" spans="1:27" ht="12.75">
      <c r="A1083" s="3" t="s">
        <v>1852</v>
      </c>
      <c r="B1083" s="3" t="s">
        <v>522</v>
      </c>
      <c r="C1083" s="3" t="s">
        <v>523</v>
      </c>
      <c r="D1083" s="3" t="s">
        <v>839</v>
      </c>
      <c r="E1083" s="3" t="s">
        <v>526</v>
      </c>
      <c r="F1083" s="3" t="s">
        <v>841</v>
      </c>
      <c r="G1083" s="3" t="s">
        <v>1591</v>
      </c>
      <c r="H1083" s="3" t="s">
        <v>1592</v>
      </c>
      <c r="I1083" s="3" t="s">
        <v>911</v>
      </c>
      <c r="J1083" s="4">
        <v>0</v>
      </c>
      <c r="K1083" s="4">
        <v>0.152</v>
      </c>
      <c r="L1083" s="4">
        <v>0</v>
      </c>
      <c r="M1083" s="4">
        <v>0</v>
      </c>
      <c r="N1083" s="5">
        <v>13236</v>
      </c>
      <c r="O1083" s="5">
        <v>0</v>
      </c>
      <c r="P1083" s="5">
        <v>0</v>
      </c>
      <c r="Q1083" s="5">
        <v>0</v>
      </c>
      <c r="R1083" s="5">
        <v>0</v>
      </c>
      <c r="S1083" s="5">
        <v>0</v>
      </c>
      <c r="T1083" s="5">
        <f t="shared" si="114"/>
        <v>13236</v>
      </c>
      <c r="U1083" s="5">
        <f>SUM(S1083:S1083)</f>
        <v>0</v>
      </c>
      <c r="V1083" s="5">
        <v>0</v>
      </c>
      <c r="W1083" s="5">
        <v>0</v>
      </c>
      <c r="X1083" s="5">
        <v>0</v>
      </c>
      <c r="Y1083" s="5">
        <v>13236</v>
      </c>
      <c r="Z1083" s="5">
        <f t="shared" si="115"/>
        <v>13236</v>
      </c>
      <c r="AA1083" s="20">
        <f t="shared" si="113"/>
        <v>0</v>
      </c>
    </row>
    <row r="1084" spans="1:27" ht="12.75">
      <c r="A1084" s="3" t="s">
        <v>1842</v>
      </c>
      <c r="B1084" s="3" t="s">
        <v>522</v>
      </c>
      <c r="C1084" s="3" t="s">
        <v>523</v>
      </c>
      <c r="D1084" s="3" t="s">
        <v>842</v>
      </c>
      <c r="E1084" s="3" t="s">
        <v>831</v>
      </c>
      <c r="F1084" s="3" t="s">
        <v>844</v>
      </c>
      <c r="G1084" s="3" t="s">
        <v>1591</v>
      </c>
      <c r="H1084" s="3" t="s">
        <v>1592</v>
      </c>
      <c r="I1084" s="3" t="s">
        <v>912</v>
      </c>
      <c r="J1084" s="4">
        <v>0</v>
      </c>
      <c r="K1084" s="4">
        <v>0</v>
      </c>
      <c r="L1084" s="4">
        <v>0</v>
      </c>
      <c r="M1084" s="4">
        <v>0</v>
      </c>
      <c r="N1084" s="5">
        <v>0</v>
      </c>
      <c r="O1084" s="5">
        <v>0</v>
      </c>
      <c r="P1084" s="5">
        <v>0</v>
      </c>
      <c r="Q1084" s="5">
        <v>0</v>
      </c>
      <c r="R1084" s="5">
        <v>0</v>
      </c>
      <c r="S1084" s="5">
        <v>0</v>
      </c>
      <c r="T1084" s="5">
        <f t="shared" si="114"/>
        <v>0</v>
      </c>
      <c r="U1084" s="5">
        <v>24500</v>
      </c>
      <c r="V1084" s="5">
        <v>0</v>
      </c>
      <c r="W1084" s="5">
        <v>0</v>
      </c>
      <c r="X1084" s="5">
        <v>0</v>
      </c>
      <c r="Y1084" s="5">
        <v>24500</v>
      </c>
      <c r="Z1084" s="5">
        <f t="shared" si="115"/>
        <v>24500</v>
      </c>
      <c r="AA1084" s="20">
        <f t="shared" si="113"/>
        <v>0</v>
      </c>
    </row>
    <row r="1085" spans="1:27" ht="12.75">
      <c r="A1085" s="3" t="s">
        <v>1842</v>
      </c>
      <c r="B1085" s="3" t="s">
        <v>522</v>
      </c>
      <c r="C1085" s="3" t="s">
        <v>523</v>
      </c>
      <c r="D1085" s="3" t="s">
        <v>845</v>
      </c>
      <c r="E1085" s="3" t="s">
        <v>831</v>
      </c>
      <c r="F1085" s="3" t="s">
        <v>847</v>
      </c>
      <c r="G1085" s="3" t="s">
        <v>1591</v>
      </c>
      <c r="H1085" s="3" t="s">
        <v>1592</v>
      </c>
      <c r="I1085" s="3" t="s">
        <v>846</v>
      </c>
      <c r="J1085" s="4">
        <v>0</v>
      </c>
      <c r="K1085" s="4">
        <v>0</v>
      </c>
      <c r="L1085" s="4">
        <v>0</v>
      </c>
      <c r="M1085" s="4">
        <v>0</v>
      </c>
      <c r="N1085" s="5">
        <v>0</v>
      </c>
      <c r="O1085" s="5">
        <v>0</v>
      </c>
      <c r="P1085" s="5">
        <v>0</v>
      </c>
      <c r="Q1085" s="5">
        <v>0</v>
      </c>
      <c r="R1085" s="5">
        <v>0</v>
      </c>
      <c r="S1085" s="5">
        <v>0</v>
      </c>
      <c r="T1085" s="5">
        <f t="shared" si="114"/>
        <v>0</v>
      </c>
      <c r="U1085" s="5">
        <v>50000</v>
      </c>
      <c r="V1085" s="5">
        <v>0</v>
      </c>
      <c r="W1085" s="5">
        <v>0</v>
      </c>
      <c r="X1085" s="5">
        <v>0</v>
      </c>
      <c r="Y1085" s="5">
        <v>50000</v>
      </c>
      <c r="Z1085" s="5">
        <f t="shared" si="115"/>
        <v>50000</v>
      </c>
      <c r="AA1085" s="20">
        <f t="shared" si="113"/>
        <v>0</v>
      </c>
    </row>
    <row r="1086" spans="1:27" ht="12.75">
      <c r="A1086" s="3" t="s">
        <v>1842</v>
      </c>
      <c r="B1086" s="3" t="s">
        <v>522</v>
      </c>
      <c r="C1086" s="3" t="s">
        <v>523</v>
      </c>
      <c r="D1086" s="3" t="s">
        <v>848</v>
      </c>
      <c r="E1086" s="3" t="s">
        <v>831</v>
      </c>
      <c r="F1086" s="3" t="s">
        <v>850</v>
      </c>
      <c r="G1086" s="3" t="s">
        <v>1591</v>
      </c>
      <c r="H1086" s="3" t="s">
        <v>1592</v>
      </c>
      <c r="I1086" s="3" t="s">
        <v>913</v>
      </c>
      <c r="J1086" s="4">
        <v>0</v>
      </c>
      <c r="K1086" s="4">
        <v>0</v>
      </c>
      <c r="L1086" s="4">
        <v>1</v>
      </c>
      <c r="M1086" s="4">
        <v>0</v>
      </c>
      <c r="N1086" s="5">
        <v>18636</v>
      </c>
      <c r="O1086" s="5">
        <v>0</v>
      </c>
      <c r="P1086" s="5">
        <v>0</v>
      </c>
      <c r="Q1086" s="5">
        <v>0</v>
      </c>
      <c r="R1086" s="5">
        <v>0</v>
      </c>
      <c r="S1086" s="5">
        <v>0</v>
      </c>
      <c r="T1086" s="5">
        <f t="shared" si="114"/>
        <v>18636</v>
      </c>
      <c r="U1086" s="5">
        <f>SUM(S1086:S1086)</f>
        <v>0</v>
      </c>
      <c r="V1086" s="5">
        <v>0</v>
      </c>
      <c r="W1086" s="5">
        <v>0</v>
      </c>
      <c r="X1086" s="5">
        <v>0</v>
      </c>
      <c r="Y1086" s="5">
        <v>18636</v>
      </c>
      <c r="Z1086" s="5">
        <f t="shared" si="115"/>
        <v>18636</v>
      </c>
      <c r="AA1086" s="20">
        <f t="shared" si="113"/>
        <v>0</v>
      </c>
    </row>
    <row r="1087" spans="1:27" ht="12.75">
      <c r="A1087" s="3" t="s">
        <v>1936</v>
      </c>
      <c r="B1087" s="3" t="s">
        <v>522</v>
      </c>
      <c r="C1087" s="3" t="s">
        <v>523</v>
      </c>
      <c r="D1087" s="3" t="s">
        <v>851</v>
      </c>
      <c r="E1087" s="3" t="s">
        <v>831</v>
      </c>
      <c r="F1087" s="3" t="s">
        <v>853</v>
      </c>
      <c r="G1087" s="3" t="s">
        <v>1591</v>
      </c>
      <c r="H1087" s="3" t="s">
        <v>1592</v>
      </c>
      <c r="I1087" s="3" t="s">
        <v>852</v>
      </c>
      <c r="J1087" s="4">
        <v>0</v>
      </c>
      <c r="K1087" s="4">
        <v>0</v>
      </c>
      <c r="L1087" s="4">
        <v>0</v>
      </c>
      <c r="M1087" s="4">
        <v>0</v>
      </c>
      <c r="N1087" s="5">
        <v>0</v>
      </c>
      <c r="O1087" s="5">
        <v>0</v>
      </c>
      <c r="P1087" s="5">
        <v>0</v>
      </c>
      <c r="Q1087" s="5">
        <v>0</v>
      </c>
      <c r="R1087" s="5">
        <v>0</v>
      </c>
      <c r="S1087" s="5">
        <v>0</v>
      </c>
      <c r="T1087" s="5">
        <f t="shared" si="114"/>
        <v>0</v>
      </c>
      <c r="U1087" s="5">
        <f>SUM(S1087:S1087)</f>
        <v>0</v>
      </c>
      <c r="V1087" s="5">
        <v>100</v>
      </c>
      <c r="W1087" s="5">
        <v>0</v>
      </c>
      <c r="X1087" s="5">
        <v>0</v>
      </c>
      <c r="Y1087" s="5">
        <v>100</v>
      </c>
      <c r="Z1087" s="5">
        <f t="shared" si="115"/>
        <v>100</v>
      </c>
      <c r="AA1087" s="20">
        <f t="shared" si="113"/>
        <v>0</v>
      </c>
    </row>
    <row r="1088" spans="1:27" ht="12.75">
      <c r="A1088" s="3" t="s">
        <v>1871</v>
      </c>
      <c r="B1088" s="3" t="s">
        <v>522</v>
      </c>
      <c r="C1088" s="3" t="s">
        <v>523</v>
      </c>
      <c r="D1088" s="3" t="s">
        <v>854</v>
      </c>
      <c r="E1088" s="3" t="s">
        <v>831</v>
      </c>
      <c r="F1088" s="3" t="s">
        <v>856</v>
      </c>
      <c r="G1088" s="3" t="s">
        <v>1591</v>
      </c>
      <c r="H1088" s="3" t="s">
        <v>1592</v>
      </c>
      <c r="I1088" s="3" t="s">
        <v>666</v>
      </c>
      <c r="J1088" s="4">
        <v>0</v>
      </c>
      <c r="K1088" s="4">
        <v>0</v>
      </c>
      <c r="L1088" s="4">
        <v>0</v>
      </c>
      <c r="M1088" s="4">
        <v>0</v>
      </c>
      <c r="N1088" s="5">
        <v>0</v>
      </c>
      <c r="O1088" s="5">
        <v>0</v>
      </c>
      <c r="P1088" s="5">
        <v>0</v>
      </c>
      <c r="Q1088" s="5">
        <v>0</v>
      </c>
      <c r="R1088" s="5">
        <v>120</v>
      </c>
      <c r="S1088" s="5">
        <v>0</v>
      </c>
      <c r="T1088" s="5">
        <f t="shared" si="114"/>
        <v>120</v>
      </c>
      <c r="U1088" s="5">
        <f>SUM(S1088:S1088)</f>
        <v>0</v>
      </c>
      <c r="V1088" s="5">
        <v>0</v>
      </c>
      <c r="W1088" s="5">
        <v>0</v>
      </c>
      <c r="X1088" s="5">
        <v>0</v>
      </c>
      <c r="Y1088" s="5">
        <v>120</v>
      </c>
      <c r="Z1088" s="5">
        <f t="shared" si="115"/>
        <v>120</v>
      </c>
      <c r="AA1088" s="20">
        <f t="shared" si="113"/>
        <v>0</v>
      </c>
    </row>
    <row r="1089" spans="1:27" ht="12.75">
      <c r="A1089" s="3" t="s">
        <v>1964</v>
      </c>
      <c r="B1089" s="3" t="s">
        <v>522</v>
      </c>
      <c r="C1089" s="3" t="s">
        <v>523</v>
      </c>
      <c r="D1089" s="3" t="s">
        <v>857</v>
      </c>
      <c r="E1089" s="3" t="s">
        <v>831</v>
      </c>
      <c r="F1089" s="3" t="s">
        <v>859</v>
      </c>
      <c r="G1089" s="3" t="s">
        <v>1591</v>
      </c>
      <c r="H1089" s="3" t="s">
        <v>1592</v>
      </c>
      <c r="I1089" s="3" t="s">
        <v>914</v>
      </c>
      <c r="J1089" s="4">
        <v>0</v>
      </c>
      <c r="K1089" s="4">
        <v>0</v>
      </c>
      <c r="L1089" s="4">
        <v>0</v>
      </c>
      <c r="M1089" s="4">
        <v>0</v>
      </c>
      <c r="N1089" s="5">
        <v>0</v>
      </c>
      <c r="O1089" s="5">
        <v>10500</v>
      </c>
      <c r="P1089" s="5">
        <v>0</v>
      </c>
      <c r="Q1089" s="5">
        <v>0</v>
      </c>
      <c r="R1089" s="5">
        <v>0</v>
      </c>
      <c r="S1089" s="5">
        <v>0</v>
      </c>
      <c r="T1089" s="5">
        <f t="shared" si="114"/>
        <v>10500</v>
      </c>
      <c r="U1089" s="5">
        <v>4000</v>
      </c>
      <c r="V1089" s="5">
        <v>0</v>
      </c>
      <c r="W1089" s="5">
        <v>0</v>
      </c>
      <c r="X1089" s="5">
        <v>0</v>
      </c>
      <c r="Y1089" s="5">
        <v>14500</v>
      </c>
      <c r="Z1089" s="5">
        <f t="shared" si="115"/>
        <v>14500</v>
      </c>
      <c r="AA1089" s="20">
        <f t="shared" si="113"/>
        <v>0</v>
      </c>
    </row>
    <row r="1090" spans="1:27" ht="12.75">
      <c r="A1090" s="3" t="s">
        <v>1908</v>
      </c>
      <c r="B1090" s="3" t="s">
        <v>522</v>
      </c>
      <c r="C1090" s="3" t="s">
        <v>523</v>
      </c>
      <c r="D1090" s="3" t="s">
        <v>860</v>
      </c>
      <c r="E1090" s="3" t="s">
        <v>831</v>
      </c>
      <c r="F1090" s="3" t="s">
        <v>862</v>
      </c>
      <c r="G1090" s="3" t="s">
        <v>1591</v>
      </c>
      <c r="H1090" s="3" t="s">
        <v>1592</v>
      </c>
      <c r="I1090" s="3" t="s">
        <v>861</v>
      </c>
      <c r="J1090" s="4">
        <v>0</v>
      </c>
      <c r="K1090" s="4">
        <v>1</v>
      </c>
      <c r="L1090" s="4">
        <v>0</v>
      </c>
      <c r="M1090" s="4">
        <v>0</v>
      </c>
      <c r="N1090" s="5">
        <v>5000</v>
      </c>
      <c r="O1090" s="5">
        <v>0</v>
      </c>
      <c r="P1090" s="5">
        <v>0</v>
      </c>
      <c r="Q1090" s="5">
        <v>0</v>
      </c>
      <c r="R1090" s="5">
        <v>0</v>
      </c>
      <c r="S1090" s="5">
        <v>0</v>
      </c>
      <c r="T1090" s="5">
        <f t="shared" si="114"/>
        <v>5000</v>
      </c>
      <c r="U1090" s="5">
        <f>SUM(S1090:S1090)</f>
        <v>0</v>
      </c>
      <c r="V1090" s="5">
        <v>0</v>
      </c>
      <c r="W1090" s="5">
        <v>0</v>
      </c>
      <c r="X1090" s="5">
        <v>0</v>
      </c>
      <c r="Y1090" s="5">
        <v>5000</v>
      </c>
      <c r="Z1090" s="5">
        <f t="shared" si="115"/>
        <v>5000</v>
      </c>
      <c r="AA1090" s="20">
        <f t="shared" si="113"/>
        <v>0</v>
      </c>
    </row>
    <row r="1091" spans="1:27" ht="12.75">
      <c r="A1091" s="3" t="s">
        <v>1680</v>
      </c>
      <c r="B1091" s="3" t="s">
        <v>522</v>
      </c>
      <c r="C1091" s="3" t="s">
        <v>523</v>
      </c>
      <c r="D1091" s="3" t="s">
        <v>863</v>
      </c>
      <c r="E1091" s="3" t="s">
        <v>865</v>
      </c>
      <c r="F1091" s="3" t="s">
        <v>866</v>
      </c>
      <c r="G1091" s="3" t="s">
        <v>1591</v>
      </c>
      <c r="H1091" s="3" t="s">
        <v>1592</v>
      </c>
      <c r="I1091" s="3" t="s">
        <v>667</v>
      </c>
      <c r="J1091" s="4">
        <v>0</v>
      </c>
      <c r="K1091" s="4">
        <v>0</v>
      </c>
      <c r="L1091" s="4">
        <v>0</v>
      </c>
      <c r="M1091" s="4">
        <v>0</v>
      </c>
      <c r="N1091" s="5">
        <v>0</v>
      </c>
      <c r="O1091" s="5">
        <v>0</v>
      </c>
      <c r="P1091" s="5">
        <v>0</v>
      </c>
      <c r="Q1091" s="5">
        <v>0</v>
      </c>
      <c r="R1091" s="5">
        <v>0</v>
      </c>
      <c r="S1091" s="5">
        <v>0</v>
      </c>
      <c r="T1091" s="5">
        <f t="shared" si="114"/>
        <v>0</v>
      </c>
      <c r="U1091" s="5">
        <f>SUM(S1091:S1091)</f>
        <v>0</v>
      </c>
      <c r="V1091" s="5">
        <v>0</v>
      </c>
      <c r="W1091" s="5">
        <v>0</v>
      </c>
      <c r="X1091" s="5">
        <v>41094</v>
      </c>
      <c r="Y1091" s="5">
        <v>41094</v>
      </c>
      <c r="Z1091" s="5">
        <f t="shared" si="115"/>
        <v>41094</v>
      </c>
      <c r="AA1091" s="20">
        <f t="shared" si="113"/>
        <v>0</v>
      </c>
    </row>
    <row r="1092" spans="1:27" ht="12.75">
      <c r="A1092" s="3" t="s">
        <v>1751</v>
      </c>
      <c r="B1092" s="3" t="s">
        <v>522</v>
      </c>
      <c r="C1092" s="3" t="s">
        <v>523</v>
      </c>
      <c r="D1092" s="3" t="s">
        <v>867</v>
      </c>
      <c r="E1092" s="3" t="s">
        <v>865</v>
      </c>
      <c r="F1092" s="3" t="s">
        <v>869</v>
      </c>
      <c r="G1092" s="3" t="s">
        <v>1591</v>
      </c>
      <c r="H1092" s="3" t="s">
        <v>1592</v>
      </c>
      <c r="I1092" s="3" t="s">
        <v>915</v>
      </c>
      <c r="J1092" s="4">
        <v>0</v>
      </c>
      <c r="K1092" s="4">
        <v>1</v>
      </c>
      <c r="L1092" s="4">
        <v>0</v>
      </c>
      <c r="M1092" s="4">
        <v>0</v>
      </c>
      <c r="N1092" s="5">
        <v>54516</v>
      </c>
      <c r="O1092" s="5">
        <v>0</v>
      </c>
      <c r="P1092" s="5">
        <v>14090</v>
      </c>
      <c r="Q1092" s="5">
        <v>0</v>
      </c>
      <c r="R1092" s="5">
        <v>16401</v>
      </c>
      <c r="S1092" s="5">
        <v>0</v>
      </c>
      <c r="T1092" s="5">
        <f t="shared" si="114"/>
        <v>85007</v>
      </c>
      <c r="U1092" s="5">
        <v>46540</v>
      </c>
      <c r="V1092" s="5">
        <v>8110</v>
      </c>
      <c r="W1092" s="5">
        <v>0</v>
      </c>
      <c r="X1092" s="5">
        <v>3776</v>
      </c>
      <c r="Y1092" s="5">
        <v>143433</v>
      </c>
      <c r="Z1092" s="5">
        <f t="shared" si="115"/>
        <v>143433</v>
      </c>
      <c r="AA1092" s="20">
        <f t="shared" si="113"/>
        <v>0</v>
      </c>
    </row>
    <row r="1093" spans="1:27" ht="12.75">
      <c r="A1093" s="3" t="s">
        <v>1751</v>
      </c>
      <c r="B1093" s="3" t="s">
        <v>522</v>
      </c>
      <c r="C1093" s="3" t="s">
        <v>523</v>
      </c>
      <c r="D1093" s="3" t="s">
        <v>870</v>
      </c>
      <c r="E1093" s="3" t="s">
        <v>865</v>
      </c>
      <c r="F1093" s="3" t="s">
        <v>872</v>
      </c>
      <c r="G1093" s="3" t="s">
        <v>1591</v>
      </c>
      <c r="H1093" s="3" t="s">
        <v>1592</v>
      </c>
      <c r="I1093" s="3" t="s">
        <v>916</v>
      </c>
      <c r="J1093" s="4">
        <v>0</v>
      </c>
      <c r="K1093" s="4">
        <v>0</v>
      </c>
      <c r="L1093" s="4">
        <v>0</v>
      </c>
      <c r="M1093" s="4">
        <v>0</v>
      </c>
      <c r="N1093" s="5">
        <v>0</v>
      </c>
      <c r="O1093" s="5">
        <v>0</v>
      </c>
      <c r="P1093" s="5">
        <v>0</v>
      </c>
      <c r="Q1093" s="5">
        <v>0</v>
      </c>
      <c r="R1093" s="5">
        <v>0</v>
      </c>
      <c r="S1093" s="5">
        <v>0</v>
      </c>
      <c r="T1093" s="5">
        <f t="shared" si="114"/>
        <v>0</v>
      </c>
      <c r="U1093" s="5">
        <v>41491</v>
      </c>
      <c r="V1093" s="5">
        <v>0</v>
      </c>
      <c r="W1093" s="5">
        <v>0</v>
      </c>
      <c r="X1093" s="5">
        <v>0</v>
      </c>
      <c r="Y1093" s="5">
        <v>41491</v>
      </c>
      <c r="Z1093" s="5">
        <f t="shared" si="115"/>
        <v>41491</v>
      </c>
      <c r="AA1093" s="20">
        <f t="shared" si="113"/>
        <v>0</v>
      </c>
    </row>
    <row r="1094" spans="1:27" ht="12.75">
      <c r="A1094" s="3" t="s">
        <v>1680</v>
      </c>
      <c r="B1094" s="3" t="s">
        <v>522</v>
      </c>
      <c r="C1094" s="3" t="s">
        <v>523</v>
      </c>
      <c r="D1094" s="3" t="s">
        <v>873</v>
      </c>
      <c r="E1094" s="3" t="s">
        <v>865</v>
      </c>
      <c r="F1094" s="3" t="s">
        <v>875</v>
      </c>
      <c r="G1094" s="3" t="s">
        <v>1591</v>
      </c>
      <c r="H1094" s="3" t="s">
        <v>1592</v>
      </c>
      <c r="I1094" s="3" t="s">
        <v>668</v>
      </c>
      <c r="J1094" s="4">
        <v>0</v>
      </c>
      <c r="K1094" s="4">
        <v>0</v>
      </c>
      <c r="L1094" s="4">
        <v>0</v>
      </c>
      <c r="M1094" s="4">
        <v>0</v>
      </c>
      <c r="N1094" s="5">
        <v>0</v>
      </c>
      <c r="O1094" s="5">
        <v>0</v>
      </c>
      <c r="P1094" s="5">
        <v>0</v>
      </c>
      <c r="Q1094" s="5">
        <v>0</v>
      </c>
      <c r="R1094" s="5">
        <v>0</v>
      </c>
      <c r="S1094" s="5">
        <v>0</v>
      </c>
      <c r="T1094" s="5">
        <f t="shared" si="114"/>
        <v>0</v>
      </c>
      <c r="U1094" s="5">
        <f>SUM(S1094:S1094)</f>
        <v>0</v>
      </c>
      <c r="V1094" s="5">
        <v>0</v>
      </c>
      <c r="W1094" s="5">
        <v>0</v>
      </c>
      <c r="X1094" s="5">
        <v>47923</v>
      </c>
      <c r="Y1094" s="5">
        <v>47923</v>
      </c>
      <c r="Z1094" s="5">
        <f t="shared" si="115"/>
        <v>47923</v>
      </c>
      <c r="AA1094" s="20">
        <f t="shared" si="113"/>
        <v>0</v>
      </c>
    </row>
    <row r="1095" spans="1:27" ht="12.75">
      <c r="A1095" s="3" t="s">
        <v>1751</v>
      </c>
      <c r="B1095" s="3" t="s">
        <v>522</v>
      </c>
      <c r="C1095" s="3" t="s">
        <v>523</v>
      </c>
      <c r="D1095" s="3" t="s">
        <v>876</v>
      </c>
      <c r="E1095" s="3" t="s">
        <v>865</v>
      </c>
      <c r="F1095" s="3" t="s">
        <v>878</v>
      </c>
      <c r="G1095" s="3" t="s">
        <v>1591</v>
      </c>
      <c r="H1095" s="3" t="s">
        <v>1592</v>
      </c>
      <c r="I1095" s="3" t="s">
        <v>917</v>
      </c>
      <c r="J1095" s="4">
        <v>0</v>
      </c>
      <c r="K1095" s="4">
        <v>0</v>
      </c>
      <c r="L1095" s="4">
        <v>0</v>
      </c>
      <c r="M1095" s="4">
        <v>0</v>
      </c>
      <c r="N1095" s="5">
        <v>0</v>
      </c>
      <c r="O1095" s="5">
        <v>0</v>
      </c>
      <c r="P1095" s="5">
        <v>0</v>
      </c>
      <c r="Q1095" s="5">
        <v>0</v>
      </c>
      <c r="R1095" s="5">
        <v>0</v>
      </c>
      <c r="S1095" s="5">
        <v>0</v>
      </c>
      <c r="T1095" s="5">
        <f t="shared" si="114"/>
        <v>0</v>
      </c>
      <c r="U1095" s="5">
        <v>9885</v>
      </c>
      <c r="V1095" s="5">
        <v>0</v>
      </c>
      <c r="W1095" s="5">
        <v>0</v>
      </c>
      <c r="X1095" s="5">
        <v>0</v>
      </c>
      <c r="Y1095" s="5">
        <v>9885</v>
      </c>
      <c r="Z1095" s="5">
        <f t="shared" si="115"/>
        <v>9885</v>
      </c>
      <c r="AA1095" s="20">
        <f t="shared" si="113"/>
        <v>0</v>
      </c>
    </row>
    <row r="1096" spans="1:27" ht="12.75">
      <c r="A1096" s="3" t="s">
        <v>1842</v>
      </c>
      <c r="B1096" s="3" t="s">
        <v>522</v>
      </c>
      <c r="C1096" s="3" t="s">
        <v>523</v>
      </c>
      <c r="D1096" s="3" t="s">
        <v>879</v>
      </c>
      <c r="E1096" s="3" t="s">
        <v>865</v>
      </c>
      <c r="F1096" s="3" t="s">
        <v>881</v>
      </c>
      <c r="G1096" s="3" t="s">
        <v>1591</v>
      </c>
      <c r="H1096" s="3" t="s">
        <v>1592</v>
      </c>
      <c r="I1096" s="3" t="s">
        <v>918</v>
      </c>
      <c r="J1096" s="4">
        <v>0</v>
      </c>
      <c r="K1096" s="4">
        <v>1</v>
      </c>
      <c r="L1096" s="4">
        <v>2.5</v>
      </c>
      <c r="M1096" s="4">
        <v>0</v>
      </c>
      <c r="N1096" s="5">
        <v>77628</v>
      </c>
      <c r="O1096" s="5">
        <v>0</v>
      </c>
      <c r="P1096" s="5">
        <v>28000</v>
      </c>
      <c r="Q1096" s="5">
        <v>0</v>
      </c>
      <c r="R1096" s="5">
        <v>22880</v>
      </c>
      <c r="S1096" s="5">
        <v>0</v>
      </c>
      <c r="T1096" s="5">
        <f t="shared" si="114"/>
        <v>128508</v>
      </c>
      <c r="U1096" s="5">
        <v>77260</v>
      </c>
      <c r="V1096" s="5">
        <v>0</v>
      </c>
      <c r="W1096" s="5">
        <v>0</v>
      </c>
      <c r="X1096" s="5">
        <v>0</v>
      </c>
      <c r="Y1096" s="5">
        <v>205768</v>
      </c>
      <c r="Z1096" s="5">
        <f t="shared" si="115"/>
        <v>205768</v>
      </c>
      <c r="AA1096" s="20">
        <f t="shared" si="113"/>
        <v>0</v>
      </c>
    </row>
    <row r="1097" spans="1:27" ht="12.75">
      <c r="A1097" s="3" t="s">
        <v>1852</v>
      </c>
      <c r="B1097" s="3" t="s">
        <v>522</v>
      </c>
      <c r="C1097" s="3" t="s">
        <v>523</v>
      </c>
      <c r="D1097" s="3" t="s">
        <v>885</v>
      </c>
      <c r="E1097" s="3" t="s">
        <v>831</v>
      </c>
      <c r="F1097" s="3" t="s">
        <v>887</v>
      </c>
      <c r="G1097" s="3" t="s">
        <v>1591</v>
      </c>
      <c r="H1097" s="3" t="s">
        <v>1592</v>
      </c>
      <c r="I1097" s="3" t="s">
        <v>886</v>
      </c>
      <c r="J1097" s="4">
        <v>0</v>
      </c>
      <c r="K1097" s="4">
        <v>0.364</v>
      </c>
      <c r="L1097" s="4">
        <v>0</v>
      </c>
      <c r="M1097" s="4">
        <v>0</v>
      </c>
      <c r="N1097" s="5">
        <v>34992</v>
      </c>
      <c r="O1097" s="5">
        <v>0</v>
      </c>
      <c r="P1097" s="5">
        <v>0</v>
      </c>
      <c r="Q1097" s="5">
        <v>0</v>
      </c>
      <c r="R1097" s="5">
        <v>0</v>
      </c>
      <c r="S1097" s="5">
        <v>0</v>
      </c>
      <c r="T1097" s="5">
        <f t="shared" si="114"/>
        <v>34992</v>
      </c>
      <c r="U1097" s="5">
        <f>SUM(S1097:S1097)</f>
        <v>0</v>
      </c>
      <c r="V1097" s="5">
        <v>0</v>
      </c>
      <c r="W1097" s="5">
        <v>0</v>
      </c>
      <c r="X1097" s="5">
        <v>0</v>
      </c>
      <c r="Y1097" s="5">
        <v>34992</v>
      </c>
      <c r="Z1097" s="5">
        <f t="shared" si="115"/>
        <v>34992</v>
      </c>
      <c r="AA1097" s="20">
        <f t="shared" si="113"/>
        <v>0</v>
      </c>
    </row>
    <row r="1098" spans="1:27" ht="12.75">
      <c r="A1098" s="3" t="s">
        <v>1699</v>
      </c>
      <c r="B1098" s="3" t="s">
        <v>522</v>
      </c>
      <c r="C1098" s="3" t="s">
        <v>523</v>
      </c>
      <c r="D1098" s="3" t="s">
        <v>888</v>
      </c>
      <c r="E1098" s="3" t="s">
        <v>831</v>
      </c>
      <c r="F1098" s="3" t="s">
        <v>890</v>
      </c>
      <c r="G1098" s="3" t="s">
        <v>1591</v>
      </c>
      <c r="H1098" s="3" t="s">
        <v>1592</v>
      </c>
      <c r="I1098" s="3" t="s">
        <v>669</v>
      </c>
      <c r="J1098" s="4">
        <v>0</v>
      </c>
      <c r="K1098" s="4">
        <v>0.5</v>
      </c>
      <c r="L1098" s="4">
        <v>0</v>
      </c>
      <c r="M1098" s="4">
        <v>0</v>
      </c>
      <c r="N1098" s="5">
        <v>45000</v>
      </c>
      <c r="O1098" s="5">
        <v>0</v>
      </c>
      <c r="P1098" s="5">
        <v>0</v>
      </c>
      <c r="Q1098" s="5">
        <v>0</v>
      </c>
      <c r="R1098" s="5">
        <v>0</v>
      </c>
      <c r="S1098" s="5">
        <v>0</v>
      </c>
      <c r="T1098" s="5">
        <f t="shared" si="114"/>
        <v>45000</v>
      </c>
      <c r="U1098" s="5">
        <f>SUM(S1098:S1098)</f>
        <v>0</v>
      </c>
      <c r="V1098" s="5">
        <v>0</v>
      </c>
      <c r="W1098" s="5">
        <v>0</v>
      </c>
      <c r="X1098" s="5">
        <v>0</v>
      </c>
      <c r="Y1098" s="5">
        <v>45000</v>
      </c>
      <c r="Z1098" s="5">
        <f t="shared" si="115"/>
        <v>45000</v>
      </c>
      <c r="AA1098" s="20">
        <f t="shared" si="113"/>
        <v>0</v>
      </c>
    </row>
    <row r="1099" spans="1:27" ht="13.5" thickBot="1">
      <c r="A1099" s="3" t="s">
        <v>1964</v>
      </c>
      <c r="B1099" s="3" t="s">
        <v>522</v>
      </c>
      <c r="C1099" s="3" t="s">
        <v>523</v>
      </c>
      <c r="D1099" s="3" t="s">
        <v>891</v>
      </c>
      <c r="E1099" s="3" t="s">
        <v>831</v>
      </c>
      <c r="F1099" s="3" t="s">
        <v>893</v>
      </c>
      <c r="G1099" s="3" t="s">
        <v>1591</v>
      </c>
      <c r="H1099" s="3" t="s">
        <v>1592</v>
      </c>
      <c r="I1099" s="3" t="s">
        <v>670</v>
      </c>
      <c r="J1099" s="6">
        <v>0</v>
      </c>
      <c r="K1099" s="6">
        <v>0</v>
      </c>
      <c r="L1099" s="6">
        <v>0</v>
      </c>
      <c r="M1099" s="6">
        <v>0</v>
      </c>
      <c r="N1099" s="7">
        <v>0</v>
      </c>
      <c r="O1099" s="7">
        <v>15200</v>
      </c>
      <c r="P1099" s="7">
        <v>0</v>
      </c>
      <c r="Q1099" s="7">
        <v>0</v>
      </c>
      <c r="R1099" s="7">
        <v>0</v>
      </c>
      <c r="S1099" s="7">
        <v>0</v>
      </c>
      <c r="T1099" s="7">
        <f t="shared" si="114"/>
        <v>15200</v>
      </c>
      <c r="U1099" s="7">
        <f>SUM(S1099:S1099)</f>
        <v>0</v>
      </c>
      <c r="V1099" s="7">
        <v>0</v>
      </c>
      <c r="W1099" s="7">
        <v>0</v>
      </c>
      <c r="X1099" s="7">
        <v>0</v>
      </c>
      <c r="Y1099" s="7">
        <v>15200</v>
      </c>
      <c r="Z1099" s="7">
        <f t="shared" si="115"/>
        <v>15200</v>
      </c>
      <c r="AA1099" s="20">
        <f t="shared" si="113"/>
        <v>0</v>
      </c>
    </row>
    <row r="1100" spans="10:27" ht="12.75">
      <c r="J1100" s="16"/>
      <c r="K1100" s="16"/>
      <c r="L1100" s="16"/>
      <c r="M1100" s="16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20"/>
    </row>
    <row r="1101" spans="9:27" ht="12.75">
      <c r="I1101" s="3" t="s">
        <v>2447</v>
      </c>
      <c r="J1101" s="4">
        <f aca="true" t="shared" si="118" ref="J1101:Z1101">SUM(J632:J1099)</f>
        <v>5.596</v>
      </c>
      <c r="K1101" s="4">
        <f t="shared" si="118"/>
        <v>15.939</v>
      </c>
      <c r="L1101" s="4">
        <f t="shared" si="118"/>
        <v>334.889</v>
      </c>
      <c r="M1101" s="4">
        <f t="shared" si="118"/>
        <v>46.23299999999999</v>
      </c>
      <c r="N1101" s="24">
        <f t="shared" si="118"/>
        <v>10750045</v>
      </c>
      <c r="O1101" s="24">
        <f t="shared" si="118"/>
        <v>88671</v>
      </c>
      <c r="P1101" s="24">
        <f t="shared" si="118"/>
        <v>4513207</v>
      </c>
      <c r="Q1101" s="24">
        <f t="shared" si="118"/>
        <v>404114</v>
      </c>
      <c r="R1101" s="24">
        <f t="shared" si="118"/>
        <v>2368753</v>
      </c>
      <c r="S1101" s="24">
        <f t="shared" si="118"/>
        <v>838664</v>
      </c>
      <c r="T1101" s="24">
        <f t="shared" si="118"/>
        <v>18124790</v>
      </c>
      <c r="U1101" s="24">
        <f t="shared" si="118"/>
        <v>16857738</v>
      </c>
      <c r="V1101" s="24">
        <f t="shared" si="118"/>
        <v>900360</v>
      </c>
      <c r="W1101" s="24">
        <f t="shared" si="118"/>
        <v>11357692</v>
      </c>
      <c r="X1101" s="24">
        <f t="shared" si="118"/>
        <v>1412501</v>
      </c>
      <c r="Y1101" s="24">
        <f t="shared" si="118"/>
        <v>48630520.61</v>
      </c>
      <c r="Z1101" s="24">
        <f t="shared" si="118"/>
        <v>48653081</v>
      </c>
      <c r="AA1101" s="20"/>
    </row>
    <row r="1102" spans="10:27" ht="12.75">
      <c r="J1102" s="4"/>
      <c r="K1102" s="4"/>
      <c r="L1102" s="4"/>
      <c r="M1102" s="4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20"/>
    </row>
    <row r="1103" spans="10:27" ht="12.75">
      <c r="J1103" s="4"/>
      <c r="K1103" s="4"/>
      <c r="L1103" s="4"/>
      <c r="M1103" s="4"/>
      <c r="N1103" s="5">
        <f>10750045-10743937</f>
        <v>6108</v>
      </c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20"/>
    </row>
    <row r="1104" spans="10:27" ht="12.75">
      <c r="J1104" s="4"/>
      <c r="K1104" s="4"/>
      <c r="L1104" s="4"/>
      <c r="M1104" s="4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20"/>
    </row>
    <row r="1105" spans="1:27" ht="12.75">
      <c r="A1105" s="3" t="s">
        <v>2698</v>
      </c>
      <c r="B1105" s="3" t="s">
        <v>1461</v>
      </c>
      <c r="C1105" s="3" t="s">
        <v>1462</v>
      </c>
      <c r="D1105" s="3" t="s">
        <v>1545</v>
      </c>
      <c r="E1105" s="3" t="s">
        <v>1547</v>
      </c>
      <c r="F1105" s="3" t="s">
        <v>1548</v>
      </c>
      <c r="G1105" s="3" t="s">
        <v>1591</v>
      </c>
      <c r="H1105" s="3" t="s">
        <v>1592</v>
      </c>
      <c r="I1105" s="3" t="s">
        <v>1546</v>
      </c>
      <c r="J1105" s="4">
        <v>0</v>
      </c>
      <c r="K1105" s="4">
        <v>0</v>
      </c>
      <c r="L1105" s="4">
        <v>0</v>
      </c>
      <c r="M1105" s="4">
        <v>0</v>
      </c>
      <c r="N1105" s="5">
        <v>0</v>
      </c>
      <c r="O1105" s="5">
        <v>0</v>
      </c>
      <c r="P1105" s="5">
        <v>0</v>
      </c>
      <c r="Q1105" s="5">
        <v>0</v>
      </c>
      <c r="R1105" s="5">
        <v>0</v>
      </c>
      <c r="S1105" s="5">
        <v>0</v>
      </c>
      <c r="T1105" s="5">
        <f t="shared" si="114"/>
        <v>0</v>
      </c>
      <c r="U1105" s="5">
        <f>SUM(S1105:S1105)</f>
        <v>0</v>
      </c>
      <c r="V1105" s="5">
        <v>0</v>
      </c>
      <c r="W1105" s="5">
        <v>535000</v>
      </c>
      <c r="X1105" s="5">
        <v>0</v>
      </c>
      <c r="Y1105" s="5">
        <v>535000</v>
      </c>
      <c r="Z1105" s="5">
        <f t="shared" si="115"/>
        <v>535000</v>
      </c>
      <c r="AA1105" s="20">
        <f t="shared" si="113"/>
        <v>0</v>
      </c>
    </row>
    <row r="1106" spans="1:27" ht="12.75">
      <c r="A1106" s="3" t="s">
        <v>1871</v>
      </c>
      <c r="B1106" s="3" t="s">
        <v>898</v>
      </c>
      <c r="C1106" s="3" t="s">
        <v>932</v>
      </c>
      <c r="D1106" s="3" t="s">
        <v>1411</v>
      </c>
      <c r="E1106" s="3" t="s">
        <v>1413</v>
      </c>
      <c r="F1106" s="3" t="s">
        <v>1414</v>
      </c>
      <c r="G1106" s="3" t="s">
        <v>1591</v>
      </c>
      <c r="H1106" s="3" t="s">
        <v>1592</v>
      </c>
      <c r="I1106" s="3" t="s">
        <v>1412</v>
      </c>
      <c r="J1106" s="4">
        <v>0</v>
      </c>
      <c r="K1106" s="4">
        <v>0</v>
      </c>
      <c r="L1106" s="4">
        <v>0</v>
      </c>
      <c r="M1106" s="4">
        <v>0</v>
      </c>
      <c r="N1106" s="5">
        <v>0</v>
      </c>
      <c r="O1106" s="5">
        <v>0</v>
      </c>
      <c r="P1106" s="5">
        <v>500</v>
      </c>
      <c r="Q1106" s="5">
        <v>0</v>
      </c>
      <c r="R1106" s="5">
        <v>0</v>
      </c>
      <c r="S1106" s="5">
        <v>1000</v>
      </c>
      <c r="T1106" s="5">
        <f t="shared" si="114"/>
        <v>500</v>
      </c>
      <c r="U1106" s="5">
        <f>1000+12000</f>
        <v>13000</v>
      </c>
      <c r="V1106" s="5">
        <v>0</v>
      </c>
      <c r="W1106" s="5">
        <v>0</v>
      </c>
      <c r="X1106" s="5">
        <v>300</v>
      </c>
      <c r="Y1106" s="5">
        <v>13800</v>
      </c>
      <c r="Z1106" s="5">
        <f t="shared" si="115"/>
        <v>13800</v>
      </c>
      <c r="AA1106" s="20">
        <f t="shared" si="113"/>
        <v>0</v>
      </c>
    </row>
    <row r="1107" spans="1:27" ht="12.75">
      <c r="A1107" s="3" t="s">
        <v>1699</v>
      </c>
      <c r="B1107" s="3" t="s">
        <v>898</v>
      </c>
      <c r="C1107" s="3" t="s">
        <v>932</v>
      </c>
      <c r="D1107" s="3" t="s">
        <v>1415</v>
      </c>
      <c r="E1107" s="3" t="s">
        <v>1413</v>
      </c>
      <c r="F1107" s="3" t="s">
        <v>1417</v>
      </c>
      <c r="G1107" s="3" t="s">
        <v>1591</v>
      </c>
      <c r="H1107" s="3" t="s">
        <v>1592</v>
      </c>
      <c r="I1107" s="3" t="s">
        <v>1416</v>
      </c>
      <c r="J1107" s="4">
        <v>0</v>
      </c>
      <c r="K1107" s="4">
        <v>0</v>
      </c>
      <c r="L1107" s="4">
        <v>0</v>
      </c>
      <c r="M1107" s="4">
        <v>0</v>
      </c>
      <c r="N1107" s="5">
        <v>0</v>
      </c>
      <c r="O1107" s="5">
        <v>0</v>
      </c>
      <c r="P1107" s="5">
        <v>4000</v>
      </c>
      <c r="Q1107" s="5">
        <v>0</v>
      </c>
      <c r="R1107" s="5">
        <v>0</v>
      </c>
      <c r="S1107" s="5">
        <v>1500</v>
      </c>
      <c r="T1107" s="5">
        <f t="shared" si="114"/>
        <v>4000</v>
      </c>
      <c r="U1107" s="5">
        <f>1500+51500</f>
        <v>53000</v>
      </c>
      <c r="V1107" s="5">
        <v>150</v>
      </c>
      <c r="W1107" s="5">
        <v>5000</v>
      </c>
      <c r="X1107" s="5">
        <v>60000</v>
      </c>
      <c r="Y1107" s="5">
        <v>122150</v>
      </c>
      <c r="Z1107" s="5">
        <f t="shared" si="115"/>
        <v>122150</v>
      </c>
      <c r="AA1107" s="20">
        <f t="shared" si="113"/>
        <v>0</v>
      </c>
    </row>
    <row r="1108" spans="1:27" ht="12.75">
      <c r="A1108" s="3" t="s">
        <v>1699</v>
      </c>
      <c r="B1108" s="3" t="s">
        <v>898</v>
      </c>
      <c r="C1108" s="3" t="s">
        <v>932</v>
      </c>
      <c r="D1108" s="3" t="s">
        <v>1418</v>
      </c>
      <c r="E1108" s="3" t="s">
        <v>1413</v>
      </c>
      <c r="F1108" s="3" t="s">
        <v>1420</v>
      </c>
      <c r="G1108" s="3" t="s">
        <v>1591</v>
      </c>
      <c r="H1108" s="3" t="s">
        <v>1592</v>
      </c>
      <c r="I1108" s="3" t="s">
        <v>1419</v>
      </c>
      <c r="J1108" s="4">
        <v>0</v>
      </c>
      <c r="K1108" s="4">
        <v>0</v>
      </c>
      <c r="L1108" s="4">
        <v>0</v>
      </c>
      <c r="M1108" s="4">
        <v>0</v>
      </c>
      <c r="N1108" s="5">
        <v>0</v>
      </c>
      <c r="O1108" s="5">
        <v>0</v>
      </c>
      <c r="P1108" s="5">
        <v>900</v>
      </c>
      <c r="Q1108" s="5">
        <v>0</v>
      </c>
      <c r="R1108" s="5">
        <v>0</v>
      </c>
      <c r="S1108" s="5">
        <v>350</v>
      </c>
      <c r="T1108" s="5">
        <f t="shared" si="114"/>
        <v>900</v>
      </c>
      <c r="U1108" s="5">
        <f>350+1400</f>
        <v>1750</v>
      </c>
      <c r="V1108" s="5">
        <v>0</v>
      </c>
      <c r="W1108" s="5">
        <v>0</v>
      </c>
      <c r="X1108" s="5">
        <v>0</v>
      </c>
      <c r="Y1108" s="5">
        <v>2650</v>
      </c>
      <c r="Z1108" s="5">
        <f t="shared" si="115"/>
        <v>2650</v>
      </c>
      <c r="AA1108" s="20">
        <f t="shared" si="113"/>
        <v>0</v>
      </c>
    </row>
    <row r="1109" spans="1:27" ht="12.75">
      <c r="A1109" s="3" t="s">
        <v>1699</v>
      </c>
      <c r="B1109" s="3" t="s">
        <v>898</v>
      </c>
      <c r="C1109" s="3" t="s">
        <v>932</v>
      </c>
      <c r="D1109" s="3" t="s">
        <v>1421</v>
      </c>
      <c r="E1109" s="3" t="s">
        <v>1413</v>
      </c>
      <c r="F1109" s="3" t="s">
        <v>1423</v>
      </c>
      <c r="G1109" s="3" t="s">
        <v>1591</v>
      </c>
      <c r="H1109" s="3" t="s">
        <v>1592</v>
      </c>
      <c r="I1109" s="3" t="s">
        <v>1422</v>
      </c>
      <c r="J1109" s="4">
        <v>0</v>
      </c>
      <c r="K1109" s="4">
        <v>0</v>
      </c>
      <c r="L1109" s="4">
        <v>0</v>
      </c>
      <c r="M1109" s="4">
        <v>0</v>
      </c>
      <c r="N1109" s="5">
        <v>0</v>
      </c>
      <c r="O1109" s="5">
        <v>0</v>
      </c>
      <c r="P1109" s="5">
        <v>2000</v>
      </c>
      <c r="Q1109" s="5">
        <v>3645</v>
      </c>
      <c r="R1109" s="5">
        <v>0</v>
      </c>
      <c r="S1109" s="5">
        <v>0</v>
      </c>
      <c r="T1109" s="5">
        <f t="shared" si="114"/>
        <v>5645</v>
      </c>
      <c r="U1109" s="5">
        <v>700</v>
      </c>
      <c r="V1109" s="5">
        <v>2500</v>
      </c>
      <c r="W1109" s="5">
        <v>0</v>
      </c>
      <c r="X1109" s="5">
        <v>0</v>
      </c>
      <c r="Y1109" s="5">
        <v>8845</v>
      </c>
      <c r="Z1109" s="5">
        <f t="shared" si="115"/>
        <v>8845</v>
      </c>
      <c r="AA1109" s="20">
        <f t="shared" si="113"/>
        <v>0</v>
      </c>
    </row>
    <row r="1110" spans="1:27" ht="12.75">
      <c r="A1110" s="3" t="s">
        <v>1964</v>
      </c>
      <c r="B1110" s="3" t="s">
        <v>522</v>
      </c>
      <c r="C1110" s="3" t="s">
        <v>523</v>
      </c>
      <c r="D1110" s="3" t="s">
        <v>894</v>
      </c>
      <c r="E1110" s="3" t="s">
        <v>896</v>
      </c>
      <c r="F1110" s="3" t="s">
        <v>897</v>
      </c>
      <c r="G1110" s="3" t="s">
        <v>1591</v>
      </c>
      <c r="H1110" s="3" t="s">
        <v>1592</v>
      </c>
      <c r="I1110" s="3" t="s">
        <v>895</v>
      </c>
      <c r="J1110" s="4">
        <v>0</v>
      </c>
      <c r="K1110" s="4">
        <v>0</v>
      </c>
      <c r="L1110" s="4">
        <v>0</v>
      </c>
      <c r="M1110" s="4">
        <v>0</v>
      </c>
      <c r="N1110" s="5">
        <v>0</v>
      </c>
      <c r="O1110" s="5">
        <v>0</v>
      </c>
      <c r="P1110" s="5">
        <v>0</v>
      </c>
      <c r="Q1110" s="5">
        <v>0</v>
      </c>
      <c r="R1110" s="5">
        <v>0</v>
      </c>
      <c r="S1110" s="5">
        <v>0</v>
      </c>
      <c r="T1110" s="5">
        <f t="shared" si="114"/>
        <v>0</v>
      </c>
      <c r="U1110" s="5">
        <f>SUM(S1110:S1110)</f>
        <v>0</v>
      </c>
      <c r="V1110" s="5">
        <v>600</v>
      </c>
      <c r="W1110" s="5">
        <v>0</v>
      </c>
      <c r="X1110" s="5">
        <v>0</v>
      </c>
      <c r="Y1110" s="5">
        <v>600</v>
      </c>
      <c r="Z1110" s="5">
        <f t="shared" si="115"/>
        <v>600</v>
      </c>
      <c r="AA1110" s="20">
        <f t="shared" si="113"/>
        <v>0</v>
      </c>
    </row>
    <row r="1111" spans="10:27" ht="12.75">
      <c r="J1111" s="4"/>
      <c r="K1111" s="4"/>
      <c r="L1111" s="4"/>
      <c r="M1111" s="4"/>
      <c r="N1111" s="5"/>
      <c r="O1111" s="5"/>
      <c r="P1111" s="5"/>
      <c r="Q1111" s="5"/>
      <c r="R1111" s="5"/>
      <c r="S1111" s="5"/>
      <c r="T1111" s="5">
        <f t="shared" si="114"/>
        <v>0</v>
      </c>
      <c r="U1111" s="5"/>
      <c r="V1111" s="5"/>
      <c r="W1111" s="5"/>
      <c r="X1111" s="5"/>
      <c r="Y1111" s="5"/>
      <c r="Z1111" s="5">
        <f t="shared" si="115"/>
        <v>0</v>
      </c>
      <c r="AA1111" s="20">
        <f t="shared" si="113"/>
        <v>0</v>
      </c>
    </row>
    <row r="1112" spans="10:27" ht="12.75">
      <c r="J1112" s="25">
        <f>SUM(J632:J1109)</f>
        <v>11.192</v>
      </c>
      <c r="K1112" s="25">
        <f>SUM(K632:K1109)</f>
        <v>31.878</v>
      </c>
      <c r="L1112" s="25">
        <f>SUM(L632:L1109)</f>
        <v>669.778</v>
      </c>
      <c r="M1112" s="25">
        <f>SUM(M632:M1109)</f>
        <v>92.46599999999998</v>
      </c>
      <c r="N1112" s="5">
        <f>SUM(N632:N1109)</f>
        <v>21506198</v>
      </c>
      <c r="O1112" s="5">
        <f aca="true" t="shared" si="119" ref="O1112:Y1112">SUM(O632:O1109)</f>
        <v>177342</v>
      </c>
      <c r="P1112" s="5">
        <f t="shared" si="119"/>
        <v>9033814</v>
      </c>
      <c r="Q1112" s="5">
        <f t="shared" si="119"/>
        <v>811873</v>
      </c>
      <c r="R1112" s="5">
        <f t="shared" si="119"/>
        <v>4737506</v>
      </c>
      <c r="S1112" s="5">
        <f t="shared" si="119"/>
        <v>1680178</v>
      </c>
      <c r="T1112" s="5">
        <f t="shared" si="114"/>
        <v>36266733</v>
      </c>
      <c r="U1112" s="5">
        <f>16927688+2500</f>
        <v>16930188</v>
      </c>
      <c r="V1112" s="5">
        <f t="shared" si="119"/>
        <v>1803370</v>
      </c>
      <c r="W1112" s="5">
        <f t="shared" si="119"/>
        <v>23255384</v>
      </c>
      <c r="X1112" s="5">
        <f t="shared" si="119"/>
        <v>2885302</v>
      </c>
      <c r="Y1112" s="5">
        <f t="shared" si="119"/>
        <v>97943486.22</v>
      </c>
      <c r="Z1112" s="5">
        <f t="shared" si="115"/>
        <v>81140977</v>
      </c>
      <c r="AA1112" s="20">
        <f t="shared" si="113"/>
        <v>16802509.22</v>
      </c>
    </row>
    <row r="1113" spans="14:27" ht="12.75"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20">
        <f aca="true" t="shared" si="120" ref="AA1113:AA1136">+Y1113-Z1113</f>
        <v>0</v>
      </c>
    </row>
    <row r="1114" spans="14:27" ht="12.75">
      <c r="N1114" s="5">
        <f>10750045-10743937</f>
        <v>6108</v>
      </c>
      <c r="O1114" s="5"/>
      <c r="P1114" s="5"/>
      <c r="Q1114" s="5"/>
      <c r="R1114" s="5"/>
      <c r="S1114" s="5"/>
      <c r="T1114" s="5"/>
      <c r="U1114" s="5" t="s">
        <v>2540</v>
      </c>
      <c r="V1114" s="5"/>
      <c r="W1114" s="5"/>
      <c r="X1114" s="5"/>
      <c r="Y1114" s="5"/>
      <c r="Z1114" s="5"/>
      <c r="AA1114" s="20">
        <f t="shared" si="120"/>
        <v>0</v>
      </c>
    </row>
    <row r="1115" spans="14:27" ht="12.75"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20">
        <f t="shared" si="120"/>
        <v>0</v>
      </c>
    </row>
    <row r="1116" spans="14:27" ht="12.75"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20">
        <f t="shared" si="120"/>
        <v>0</v>
      </c>
    </row>
    <row r="1117" spans="14:27" ht="12.75"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20">
        <f t="shared" si="120"/>
        <v>0</v>
      </c>
    </row>
    <row r="1118" spans="14:27" ht="12.75"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20">
        <f t="shared" si="120"/>
        <v>0</v>
      </c>
    </row>
    <row r="1119" spans="14:27" ht="12.75"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20">
        <f t="shared" si="120"/>
        <v>0</v>
      </c>
    </row>
    <row r="1120" spans="14:27" ht="12.75"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20">
        <f t="shared" si="120"/>
        <v>0</v>
      </c>
    </row>
    <row r="1121" spans="14:27" ht="12.75"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20">
        <f t="shared" si="120"/>
        <v>0</v>
      </c>
    </row>
    <row r="1122" spans="14:27" ht="12.75"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20">
        <f t="shared" si="120"/>
        <v>0</v>
      </c>
    </row>
    <row r="1123" spans="14:27" ht="12.75"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20">
        <f t="shared" si="120"/>
        <v>0</v>
      </c>
    </row>
    <row r="1124" spans="14:27" ht="12.75"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20">
        <f t="shared" si="120"/>
        <v>0</v>
      </c>
    </row>
    <row r="1125" spans="14:27" ht="12.75"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20">
        <f t="shared" si="120"/>
        <v>0</v>
      </c>
    </row>
    <row r="1126" spans="14:27" ht="12.75"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20">
        <f t="shared" si="120"/>
        <v>0</v>
      </c>
    </row>
    <row r="1127" spans="14:27" ht="12.75"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20">
        <f t="shared" si="120"/>
        <v>0</v>
      </c>
    </row>
    <row r="1128" spans="14:27" ht="12.75"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20">
        <f t="shared" si="120"/>
        <v>0</v>
      </c>
    </row>
    <row r="1129" spans="14:27" ht="12.75"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20">
        <f t="shared" si="120"/>
        <v>0</v>
      </c>
    </row>
    <row r="1130" spans="14:27" ht="12.75"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20">
        <f t="shared" si="120"/>
        <v>0</v>
      </c>
    </row>
    <row r="1131" spans="14:27" ht="12.75"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20">
        <f t="shared" si="120"/>
        <v>0</v>
      </c>
    </row>
    <row r="1132" spans="14:27" ht="12.75"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20">
        <f t="shared" si="120"/>
        <v>0</v>
      </c>
    </row>
    <row r="1133" spans="14:27" ht="12.75"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20">
        <f t="shared" si="120"/>
        <v>0</v>
      </c>
    </row>
    <row r="1134" spans="14:27" ht="12.75"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20">
        <f t="shared" si="120"/>
        <v>0</v>
      </c>
    </row>
    <row r="1135" spans="14:27" ht="12.75"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20">
        <f t="shared" si="120"/>
        <v>0</v>
      </c>
    </row>
    <row r="1136" spans="14:27" ht="12.75"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20">
        <f t="shared" si="120"/>
        <v>0</v>
      </c>
    </row>
    <row r="1137" spans="14:27" ht="12.75"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20">
        <f aca="true" t="shared" si="121" ref="AA1137:AA1142">+Y1137-Z1137</f>
        <v>0</v>
      </c>
    </row>
    <row r="1138" spans="14:27" ht="12.75"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20">
        <f t="shared" si="121"/>
        <v>0</v>
      </c>
    </row>
    <row r="1139" spans="14:27" ht="12.75"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20">
        <f t="shared" si="121"/>
        <v>0</v>
      </c>
    </row>
    <row r="1140" spans="14:27" ht="12.75"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20">
        <f t="shared" si="121"/>
        <v>0</v>
      </c>
    </row>
    <row r="1141" spans="14:27" ht="12.75"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20">
        <f t="shared" si="121"/>
        <v>0</v>
      </c>
    </row>
    <row r="1142" spans="14:27" ht="12.75"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20">
        <f t="shared" si="121"/>
        <v>0</v>
      </c>
    </row>
    <row r="1143" spans="14:26" ht="12.75"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</row>
    <row r="1144" spans="14:26" ht="12.75"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</row>
    <row r="1145" spans="14:26" ht="12.75"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</row>
    <row r="1146" spans="14:26" ht="12.75"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</row>
    <row r="1147" spans="14:26" ht="12.75"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</row>
    <row r="1148" spans="14:26" ht="12.75"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</row>
    <row r="1149" spans="14:26" ht="12.75"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</row>
    <row r="1150" spans="14:26" ht="12.75"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</row>
    <row r="1151" spans="14:26" ht="12.75"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</row>
    <row r="1152" spans="14:26" ht="12.75"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</row>
    <row r="1153" spans="14:26" ht="12.75"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</row>
    <row r="1154" spans="14:26" ht="12.75"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</row>
    <row r="1155" spans="14:26" ht="12.75"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</row>
    <row r="1156" spans="14:26" ht="12.75"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</row>
    <row r="1157" spans="14:26" ht="12.75"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</row>
    <row r="1158" spans="14:26" ht="12.75"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</row>
    <row r="1159" spans="14:26" ht="12.75"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</row>
  </sheetData>
  <sheetProtection/>
  <printOptions/>
  <pageMargins left="0.18" right="0.17" top="1.34" bottom="0.18" header="0.82" footer="0.2"/>
  <pageSetup fitToHeight="2" fitToWidth="1" horizontalDpi="600" verticalDpi="600" orientation="landscape" scale="65" r:id="rId1"/>
  <headerFooter alignWithMargins="0">
    <oddHeader>&amp;C&amp;14BUDGET DETAILS FOR FY2000 SECTION I PISTOL ACCOUNTS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937"/>
  <sheetViews>
    <sheetView zoomScalePageLayoutView="0" workbookViewId="0" topLeftCell="L898">
      <selection activeCell="S910" sqref="S910"/>
    </sheetView>
  </sheetViews>
  <sheetFormatPr defaultColWidth="9.140625" defaultRowHeight="12.75"/>
  <cols>
    <col min="2" max="2" width="72.7109375" style="0" bestFit="1" customWidth="1"/>
    <col min="3" max="3" width="12.140625" style="0" bestFit="1" customWidth="1"/>
    <col min="4" max="4" width="7.7109375" style="0" bestFit="1" customWidth="1"/>
    <col min="5" max="5" width="16.8515625" style="0" bestFit="1" customWidth="1"/>
    <col min="6" max="6" width="14.421875" style="0" bestFit="1" customWidth="1"/>
    <col min="7" max="7" width="11.28125" style="0" customWidth="1"/>
    <col min="8" max="8" width="12.00390625" style="0" customWidth="1"/>
    <col min="9" max="9" width="9.57421875" style="0" customWidth="1"/>
    <col min="10" max="10" width="8.57421875" style="0" customWidth="1"/>
    <col min="11" max="11" width="8.00390625" style="0" customWidth="1"/>
    <col min="12" max="13" width="7.00390625" style="0" customWidth="1"/>
    <col min="14" max="15" width="9.00390625" style="0" customWidth="1"/>
    <col min="16" max="16" width="8.00390625" style="0" customWidth="1"/>
    <col min="17" max="17" width="6.00390625" style="0" customWidth="1"/>
    <col min="18" max="18" width="7.00390625" style="0" customWidth="1"/>
    <col min="19" max="21" width="8.00390625" style="0" customWidth="1"/>
    <col min="22" max="22" width="7.00390625" style="0" customWidth="1"/>
    <col min="23" max="23" width="10.00390625" style="0" customWidth="1"/>
  </cols>
  <sheetData>
    <row r="1" spans="1:19" ht="18">
      <c r="A1" s="2" t="s">
        <v>1568</v>
      </c>
      <c r="S1" s="1"/>
    </row>
    <row r="2" spans="1:23" ht="12.75">
      <c r="A2" s="1" t="s">
        <v>1572</v>
      </c>
      <c r="B2" s="1" t="s">
        <v>1573</v>
      </c>
      <c r="C2" s="1" t="s">
        <v>1574</v>
      </c>
      <c r="D2" s="1" t="s">
        <v>1575</v>
      </c>
      <c r="E2" s="1" t="s">
        <v>1576</v>
      </c>
      <c r="F2" s="1" t="s">
        <v>1577</v>
      </c>
      <c r="G2" s="1" t="s">
        <v>1578</v>
      </c>
      <c r="H2" s="1" t="s">
        <v>1579</v>
      </c>
      <c r="I2" s="1" t="s">
        <v>1580</v>
      </c>
      <c r="J2" s="1" t="s">
        <v>1581</v>
      </c>
      <c r="K2" s="1">
        <v>1000</v>
      </c>
      <c r="L2" s="1">
        <v>1100</v>
      </c>
      <c r="M2" s="1">
        <v>1200</v>
      </c>
      <c r="N2" s="1">
        <v>1400</v>
      </c>
      <c r="O2" s="1">
        <v>1900</v>
      </c>
      <c r="P2" s="1">
        <v>2000</v>
      </c>
      <c r="Q2" s="1">
        <v>3000</v>
      </c>
      <c r="R2" s="1">
        <v>4000</v>
      </c>
      <c r="S2" s="1">
        <v>2000</v>
      </c>
      <c r="T2" s="1">
        <v>6000</v>
      </c>
      <c r="U2" s="1">
        <v>8000</v>
      </c>
      <c r="V2" s="1">
        <v>9000</v>
      </c>
      <c r="W2" s="1" t="s">
        <v>1583</v>
      </c>
    </row>
    <row r="3" spans="1:23" ht="12.75">
      <c r="A3" t="s">
        <v>2555</v>
      </c>
      <c r="B3" t="s">
        <v>2556</v>
      </c>
      <c r="C3" t="s">
        <v>1589</v>
      </c>
      <c r="D3" t="s">
        <v>2557</v>
      </c>
      <c r="F3" t="s">
        <v>1592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2170064</v>
      </c>
      <c r="P3">
        <v>0</v>
      </c>
      <c r="Q3">
        <v>0</v>
      </c>
      <c r="R3">
        <v>0</v>
      </c>
      <c r="S3">
        <f>SUM(P3:R3)</f>
        <v>0</v>
      </c>
      <c r="T3">
        <v>0</v>
      </c>
      <c r="U3">
        <v>0</v>
      </c>
      <c r="V3">
        <v>0</v>
      </c>
      <c r="W3">
        <v>2170064</v>
      </c>
    </row>
    <row r="4" spans="1:23" ht="12.75">
      <c r="A4" t="s">
        <v>2558</v>
      </c>
      <c r="B4" t="s">
        <v>2559</v>
      </c>
      <c r="C4" t="s">
        <v>1589</v>
      </c>
      <c r="D4" t="s">
        <v>2560</v>
      </c>
      <c r="F4" t="s">
        <v>1592</v>
      </c>
      <c r="G4">
        <v>0</v>
      </c>
      <c r="H4">
        <v>0</v>
      </c>
      <c r="I4">
        <v>0</v>
      </c>
      <c r="J4">
        <v>0</v>
      </c>
      <c r="K4">
        <v>0</v>
      </c>
      <c r="L4">
        <v>25968</v>
      </c>
      <c r="M4">
        <v>0</v>
      </c>
      <c r="N4">
        <v>0</v>
      </c>
      <c r="O4">
        <v>10900</v>
      </c>
      <c r="P4">
        <v>0</v>
      </c>
      <c r="Q4">
        <v>0</v>
      </c>
      <c r="R4">
        <v>0</v>
      </c>
      <c r="S4">
        <f aca="true" t="shared" si="0" ref="S4:S67">SUM(P4:R4)</f>
        <v>0</v>
      </c>
      <c r="T4">
        <v>0</v>
      </c>
      <c r="U4">
        <v>0</v>
      </c>
      <c r="V4">
        <v>0</v>
      </c>
      <c r="W4">
        <v>36868</v>
      </c>
    </row>
    <row r="5" spans="1:23" ht="12.75">
      <c r="A5" t="s">
        <v>2561</v>
      </c>
      <c r="B5" t="s">
        <v>2562</v>
      </c>
      <c r="C5" t="s">
        <v>1589</v>
      </c>
      <c r="D5" t="s">
        <v>2563</v>
      </c>
      <c r="F5" t="s">
        <v>1592</v>
      </c>
      <c r="G5">
        <v>1</v>
      </c>
      <c r="H5">
        <v>0</v>
      </c>
      <c r="I5">
        <v>3</v>
      </c>
      <c r="J5">
        <v>0</v>
      </c>
      <c r="K5">
        <v>186192</v>
      </c>
      <c r="L5">
        <v>0</v>
      </c>
      <c r="M5">
        <v>0</v>
      </c>
      <c r="N5">
        <v>0</v>
      </c>
      <c r="O5">
        <v>0</v>
      </c>
      <c r="P5">
        <v>11815</v>
      </c>
      <c r="Q5">
        <v>0</v>
      </c>
      <c r="R5">
        <v>0</v>
      </c>
      <c r="S5">
        <f t="shared" si="0"/>
        <v>11815</v>
      </c>
      <c r="T5">
        <v>0</v>
      </c>
      <c r="U5">
        <v>0</v>
      </c>
      <c r="V5">
        <v>0</v>
      </c>
      <c r="W5">
        <v>198007</v>
      </c>
    </row>
    <row r="6" spans="1:23" ht="12.75">
      <c r="A6" t="s">
        <v>2564</v>
      </c>
      <c r="B6" t="s">
        <v>2565</v>
      </c>
      <c r="C6" t="s">
        <v>1589</v>
      </c>
      <c r="D6" t="s">
        <v>2566</v>
      </c>
      <c r="F6" t="s">
        <v>1592</v>
      </c>
      <c r="G6">
        <v>1</v>
      </c>
      <c r="H6">
        <v>0</v>
      </c>
      <c r="I6">
        <v>3</v>
      </c>
      <c r="J6">
        <v>0</v>
      </c>
      <c r="K6">
        <v>150048</v>
      </c>
      <c r="L6">
        <v>0</v>
      </c>
      <c r="M6">
        <v>0</v>
      </c>
      <c r="N6">
        <v>0</v>
      </c>
      <c r="O6">
        <v>0</v>
      </c>
      <c r="P6">
        <v>9288</v>
      </c>
      <c r="Q6">
        <v>0</v>
      </c>
      <c r="R6">
        <v>0</v>
      </c>
      <c r="S6">
        <f t="shared" si="0"/>
        <v>9288</v>
      </c>
      <c r="T6">
        <v>0</v>
      </c>
      <c r="U6">
        <v>0</v>
      </c>
      <c r="V6">
        <v>0</v>
      </c>
      <c r="W6">
        <v>159336</v>
      </c>
    </row>
    <row r="7" spans="1:23" ht="12.75">
      <c r="A7" t="s">
        <v>2567</v>
      </c>
      <c r="B7" t="s">
        <v>2568</v>
      </c>
      <c r="C7" t="s">
        <v>1589</v>
      </c>
      <c r="D7" t="s">
        <v>2569</v>
      </c>
      <c r="F7" t="s">
        <v>1592</v>
      </c>
      <c r="G7">
        <v>0</v>
      </c>
      <c r="H7">
        <v>0</v>
      </c>
      <c r="I7">
        <v>1.5</v>
      </c>
      <c r="J7">
        <v>0</v>
      </c>
      <c r="K7">
        <v>43260</v>
      </c>
      <c r="L7">
        <v>0</v>
      </c>
      <c r="M7">
        <v>0</v>
      </c>
      <c r="N7">
        <v>0</v>
      </c>
      <c r="O7">
        <v>0</v>
      </c>
      <c r="P7">
        <v>6500</v>
      </c>
      <c r="Q7">
        <v>0</v>
      </c>
      <c r="R7">
        <v>0</v>
      </c>
      <c r="S7">
        <f t="shared" si="0"/>
        <v>6500</v>
      </c>
      <c r="T7">
        <v>0</v>
      </c>
      <c r="U7">
        <v>0</v>
      </c>
      <c r="V7">
        <v>0</v>
      </c>
      <c r="W7">
        <v>49760</v>
      </c>
    </row>
    <row r="8" spans="1:23" ht="12.75">
      <c r="A8" t="s">
        <v>2570</v>
      </c>
      <c r="B8" t="s">
        <v>2571</v>
      </c>
      <c r="C8" t="s">
        <v>1589</v>
      </c>
      <c r="D8" t="s">
        <v>2572</v>
      </c>
      <c r="F8" t="s">
        <v>1592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335033</v>
      </c>
      <c r="Q8">
        <v>0</v>
      </c>
      <c r="R8">
        <v>0</v>
      </c>
      <c r="S8">
        <f t="shared" si="0"/>
        <v>335033</v>
      </c>
      <c r="T8">
        <v>0</v>
      </c>
      <c r="U8">
        <v>0</v>
      </c>
      <c r="V8">
        <v>0</v>
      </c>
      <c r="W8">
        <v>335033</v>
      </c>
    </row>
    <row r="9" spans="1:23" ht="12.75">
      <c r="A9" t="s">
        <v>2573</v>
      </c>
      <c r="B9" t="s">
        <v>2574</v>
      </c>
      <c r="C9" t="s">
        <v>1589</v>
      </c>
      <c r="D9" t="s">
        <v>2575</v>
      </c>
      <c r="F9" t="s">
        <v>1592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28467</v>
      </c>
      <c r="Q9">
        <v>0</v>
      </c>
      <c r="R9">
        <v>0</v>
      </c>
      <c r="S9">
        <f t="shared" si="0"/>
        <v>28467</v>
      </c>
      <c r="T9">
        <v>0</v>
      </c>
      <c r="U9">
        <v>0</v>
      </c>
      <c r="V9">
        <v>0</v>
      </c>
      <c r="W9">
        <v>28467</v>
      </c>
    </row>
    <row r="10" spans="1:23" ht="12.75">
      <c r="A10" t="s">
        <v>2577</v>
      </c>
      <c r="B10" t="s">
        <v>2578</v>
      </c>
      <c r="C10" t="s">
        <v>1589</v>
      </c>
      <c r="D10" t="s">
        <v>2579</v>
      </c>
      <c r="F10" t="s">
        <v>1592</v>
      </c>
      <c r="G10">
        <v>2</v>
      </c>
      <c r="H10">
        <v>29</v>
      </c>
      <c r="I10">
        <v>46</v>
      </c>
      <c r="J10">
        <v>0</v>
      </c>
      <c r="K10">
        <v>2172660</v>
      </c>
      <c r="L10">
        <v>0</v>
      </c>
      <c r="M10">
        <v>290387</v>
      </c>
      <c r="N10">
        <v>0</v>
      </c>
      <c r="O10">
        <v>0</v>
      </c>
      <c r="P10">
        <v>172444</v>
      </c>
      <c r="Q10">
        <v>0</v>
      </c>
      <c r="R10">
        <v>0</v>
      </c>
      <c r="S10">
        <f t="shared" si="0"/>
        <v>172444</v>
      </c>
      <c r="T10">
        <v>0</v>
      </c>
      <c r="U10">
        <v>0</v>
      </c>
      <c r="V10">
        <v>7296</v>
      </c>
      <c r="W10">
        <v>2642787</v>
      </c>
    </row>
    <row r="11" spans="1:23" ht="12.75">
      <c r="A11" t="s">
        <v>2580</v>
      </c>
      <c r="B11" t="s">
        <v>2581</v>
      </c>
      <c r="C11" t="s">
        <v>1589</v>
      </c>
      <c r="D11" t="s">
        <v>2582</v>
      </c>
      <c r="F11" t="s">
        <v>1592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18964</v>
      </c>
      <c r="Q11">
        <v>0</v>
      </c>
      <c r="R11">
        <v>0</v>
      </c>
      <c r="S11">
        <f t="shared" si="0"/>
        <v>18964</v>
      </c>
      <c r="T11">
        <v>0</v>
      </c>
      <c r="U11">
        <v>0</v>
      </c>
      <c r="V11">
        <v>0</v>
      </c>
      <c r="W11">
        <v>18964</v>
      </c>
    </row>
    <row r="12" spans="1:23" ht="12.75">
      <c r="A12" t="s">
        <v>2583</v>
      </c>
      <c r="B12" t="s">
        <v>2584</v>
      </c>
      <c r="C12" t="s">
        <v>1589</v>
      </c>
      <c r="D12" t="s">
        <v>2585</v>
      </c>
      <c r="F12" t="s">
        <v>1592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2922729</v>
      </c>
      <c r="Q12">
        <v>0</v>
      </c>
      <c r="R12">
        <v>0</v>
      </c>
      <c r="S12">
        <f t="shared" si="0"/>
        <v>2922729</v>
      </c>
      <c r="T12">
        <v>0</v>
      </c>
      <c r="U12">
        <v>0</v>
      </c>
      <c r="V12">
        <v>70000</v>
      </c>
      <c r="W12">
        <v>2992729</v>
      </c>
    </row>
    <row r="13" spans="1:23" ht="12.75">
      <c r="A13" t="s">
        <v>2586</v>
      </c>
      <c r="B13" t="s">
        <v>2587</v>
      </c>
      <c r="C13" t="s">
        <v>1589</v>
      </c>
      <c r="D13" t="s">
        <v>2588</v>
      </c>
      <c r="F13" t="s">
        <v>1592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f t="shared" si="0"/>
        <v>0</v>
      </c>
      <c r="T13">
        <v>0</v>
      </c>
      <c r="U13">
        <v>0</v>
      </c>
      <c r="V13">
        <v>76421</v>
      </c>
      <c r="W13">
        <v>76421</v>
      </c>
    </row>
    <row r="14" spans="1:23" ht="12.75">
      <c r="A14" t="s">
        <v>2589</v>
      </c>
      <c r="B14" t="s">
        <v>2590</v>
      </c>
      <c r="C14" t="s">
        <v>1589</v>
      </c>
      <c r="D14" t="s">
        <v>2591</v>
      </c>
      <c r="F14" t="s">
        <v>1592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13982</v>
      </c>
      <c r="Q14">
        <v>0</v>
      </c>
      <c r="R14">
        <v>0</v>
      </c>
      <c r="S14">
        <f t="shared" si="0"/>
        <v>13982</v>
      </c>
      <c r="T14">
        <v>0</v>
      </c>
      <c r="U14">
        <v>0</v>
      </c>
      <c r="V14">
        <v>0</v>
      </c>
      <c r="W14">
        <v>13982</v>
      </c>
    </row>
    <row r="15" spans="1:23" ht="12.75">
      <c r="A15" t="s">
        <v>2592</v>
      </c>
      <c r="B15" t="s">
        <v>2593</v>
      </c>
      <c r="C15" t="s">
        <v>1589</v>
      </c>
      <c r="D15" t="s">
        <v>2594</v>
      </c>
      <c r="F15" t="s">
        <v>1592</v>
      </c>
      <c r="G15">
        <v>1</v>
      </c>
      <c r="H15">
        <v>5</v>
      </c>
      <c r="I15">
        <v>7.5</v>
      </c>
      <c r="J15">
        <v>0</v>
      </c>
      <c r="K15">
        <v>409488</v>
      </c>
      <c r="L15">
        <v>0</v>
      </c>
      <c r="M15">
        <v>13983</v>
      </c>
      <c r="N15">
        <v>0</v>
      </c>
      <c r="O15">
        <v>0</v>
      </c>
      <c r="P15">
        <v>4562</v>
      </c>
      <c r="Q15">
        <v>0</v>
      </c>
      <c r="R15">
        <v>0</v>
      </c>
      <c r="S15">
        <f t="shared" si="0"/>
        <v>4562</v>
      </c>
      <c r="T15">
        <v>0</v>
      </c>
      <c r="U15">
        <v>0</v>
      </c>
      <c r="V15">
        <v>0</v>
      </c>
      <c r="W15">
        <v>428033</v>
      </c>
    </row>
    <row r="16" spans="1:23" ht="12.75">
      <c r="A16" t="s">
        <v>2596</v>
      </c>
      <c r="B16" t="s">
        <v>2597</v>
      </c>
      <c r="C16" t="s">
        <v>1589</v>
      </c>
      <c r="D16" t="s">
        <v>2598</v>
      </c>
      <c r="F16" t="s">
        <v>1592</v>
      </c>
      <c r="G16">
        <v>2.5</v>
      </c>
      <c r="H16">
        <v>0</v>
      </c>
      <c r="I16">
        <v>38</v>
      </c>
      <c r="J16">
        <v>0</v>
      </c>
      <c r="K16">
        <v>1536324</v>
      </c>
      <c r="L16">
        <v>0</v>
      </c>
      <c r="M16">
        <v>29493</v>
      </c>
      <c r="N16">
        <v>0</v>
      </c>
      <c r="O16">
        <v>0</v>
      </c>
      <c r="P16">
        <v>66180</v>
      </c>
      <c r="Q16">
        <v>0</v>
      </c>
      <c r="R16">
        <v>0</v>
      </c>
      <c r="S16">
        <f t="shared" si="0"/>
        <v>66180</v>
      </c>
      <c r="T16">
        <v>0</v>
      </c>
      <c r="U16">
        <v>0</v>
      </c>
      <c r="V16">
        <v>0</v>
      </c>
      <c r="W16">
        <v>1631997</v>
      </c>
    </row>
    <row r="17" spans="1:23" ht="12.75">
      <c r="A17" t="s">
        <v>2599</v>
      </c>
      <c r="B17" t="s">
        <v>2600</v>
      </c>
      <c r="C17" t="s">
        <v>1589</v>
      </c>
      <c r="D17" t="s">
        <v>2601</v>
      </c>
      <c r="F17" t="s">
        <v>1592</v>
      </c>
      <c r="G17">
        <v>1</v>
      </c>
      <c r="H17">
        <v>0</v>
      </c>
      <c r="I17">
        <v>5</v>
      </c>
      <c r="J17">
        <v>0</v>
      </c>
      <c r="K17">
        <v>159660</v>
      </c>
      <c r="L17">
        <v>0</v>
      </c>
      <c r="M17">
        <v>826</v>
      </c>
      <c r="N17">
        <v>0</v>
      </c>
      <c r="O17">
        <v>0</v>
      </c>
      <c r="P17">
        <v>4406</v>
      </c>
      <c r="Q17">
        <v>0</v>
      </c>
      <c r="R17">
        <v>0</v>
      </c>
      <c r="S17">
        <f t="shared" si="0"/>
        <v>4406</v>
      </c>
      <c r="T17">
        <v>0</v>
      </c>
      <c r="U17">
        <v>0</v>
      </c>
      <c r="V17">
        <v>0</v>
      </c>
      <c r="W17">
        <v>164892</v>
      </c>
    </row>
    <row r="18" spans="1:23" ht="12.75">
      <c r="A18" t="s">
        <v>2602</v>
      </c>
      <c r="B18" t="s">
        <v>2603</v>
      </c>
      <c r="C18" t="s">
        <v>1589</v>
      </c>
      <c r="D18" t="s">
        <v>2604</v>
      </c>
      <c r="F18" t="s">
        <v>1592</v>
      </c>
      <c r="G18">
        <v>0</v>
      </c>
      <c r="H18">
        <v>0</v>
      </c>
      <c r="I18">
        <v>1</v>
      </c>
      <c r="J18">
        <v>0</v>
      </c>
      <c r="K18">
        <v>25800</v>
      </c>
      <c r="L18">
        <v>0</v>
      </c>
      <c r="M18">
        <v>0</v>
      </c>
      <c r="N18">
        <v>0</v>
      </c>
      <c r="O18">
        <v>0</v>
      </c>
      <c r="P18">
        <v>7538</v>
      </c>
      <c r="Q18">
        <v>0</v>
      </c>
      <c r="R18">
        <v>0</v>
      </c>
      <c r="S18">
        <f t="shared" si="0"/>
        <v>7538</v>
      </c>
      <c r="T18">
        <v>0</v>
      </c>
      <c r="U18">
        <v>0</v>
      </c>
      <c r="V18">
        <v>0</v>
      </c>
      <c r="W18">
        <v>33338</v>
      </c>
    </row>
    <row r="19" spans="1:23" ht="12.75">
      <c r="A19" t="s">
        <v>2605</v>
      </c>
      <c r="B19" t="s">
        <v>2606</v>
      </c>
      <c r="C19" t="s">
        <v>1589</v>
      </c>
      <c r="D19" t="s">
        <v>2607</v>
      </c>
      <c r="F19" t="s">
        <v>1592</v>
      </c>
      <c r="G19">
        <v>1</v>
      </c>
      <c r="H19">
        <v>0</v>
      </c>
      <c r="I19">
        <v>1</v>
      </c>
      <c r="J19">
        <v>2</v>
      </c>
      <c r="K19">
        <v>119724</v>
      </c>
      <c r="L19">
        <v>0</v>
      </c>
      <c r="M19">
        <v>1836</v>
      </c>
      <c r="N19">
        <v>0</v>
      </c>
      <c r="O19">
        <v>0</v>
      </c>
      <c r="P19">
        <v>24061</v>
      </c>
      <c r="Q19">
        <v>0</v>
      </c>
      <c r="R19">
        <v>0</v>
      </c>
      <c r="S19">
        <f t="shared" si="0"/>
        <v>24061</v>
      </c>
      <c r="T19">
        <v>0</v>
      </c>
      <c r="U19">
        <v>0</v>
      </c>
      <c r="V19">
        <v>0</v>
      </c>
      <c r="W19">
        <v>145621</v>
      </c>
    </row>
    <row r="20" spans="1:23" ht="12.75">
      <c r="A20" t="s">
        <v>2608</v>
      </c>
      <c r="B20" t="s">
        <v>2609</v>
      </c>
      <c r="C20" t="s">
        <v>1589</v>
      </c>
      <c r="D20" t="s">
        <v>2610</v>
      </c>
      <c r="F20" t="s">
        <v>1592</v>
      </c>
      <c r="G20">
        <v>0</v>
      </c>
      <c r="H20">
        <v>0</v>
      </c>
      <c r="I20">
        <v>2</v>
      </c>
      <c r="J20">
        <v>0</v>
      </c>
      <c r="K20">
        <v>47232</v>
      </c>
      <c r="L20">
        <v>0</v>
      </c>
      <c r="M20">
        <v>5200</v>
      </c>
      <c r="N20">
        <v>0</v>
      </c>
      <c r="O20">
        <v>0</v>
      </c>
      <c r="P20">
        <v>5050</v>
      </c>
      <c r="Q20">
        <v>0</v>
      </c>
      <c r="R20">
        <v>0</v>
      </c>
      <c r="S20">
        <f t="shared" si="0"/>
        <v>5050</v>
      </c>
      <c r="T20">
        <v>0</v>
      </c>
      <c r="U20">
        <v>0</v>
      </c>
      <c r="V20">
        <v>0</v>
      </c>
      <c r="W20">
        <v>57482</v>
      </c>
    </row>
    <row r="21" spans="1:23" ht="12.75">
      <c r="A21" t="s">
        <v>2611</v>
      </c>
      <c r="B21" t="s">
        <v>2612</v>
      </c>
      <c r="C21" t="s">
        <v>1589</v>
      </c>
      <c r="D21" t="s">
        <v>2613</v>
      </c>
      <c r="F21" t="s">
        <v>1592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27983</v>
      </c>
      <c r="Q21">
        <v>0</v>
      </c>
      <c r="R21">
        <v>0</v>
      </c>
      <c r="S21">
        <f t="shared" si="0"/>
        <v>27983</v>
      </c>
      <c r="T21">
        <v>0</v>
      </c>
      <c r="U21">
        <v>0</v>
      </c>
      <c r="V21">
        <v>0</v>
      </c>
      <c r="W21">
        <v>27983</v>
      </c>
    </row>
    <row r="22" spans="1:23" ht="12.75">
      <c r="A22" t="s">
        <v>2614</v>
      </c>
      <c r="B22" t="s">
        <v>2615</v>
      </c>
      <c r="C22" t="s">
        <v>1589</v>
      </c>
      <c r="D22" t="s">
        <v>2616</v>
      </c>
      <c r="F22" t="s">
        <v>1592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581138</v>
      </c>
      <c r="N22">
        <v>0</v>
      </c>
      <c r="O22">
        <v>0</v>
      </c>
      <c r="P22">
        <v>581132</v>
      </c>
      <c r="Q22">
        <v>0</v>
      </c>
      <c r="R22">
        <v>0</v>
      </c>
      <c r="S22">
        <f t="shared" si="0"/>
        <v>581132</v>
      </c>
      <c r="T22">
        <v>0</v>
      </c>
      <c r="U22">
        <v>0</v>
      </c>
      <c r="V22">
        <v>0</v>
      </c>
      <c r="W22">
        <v>1162270</v>
      </c>
    </row>
    <row r="23" spans="1:23" ht="12.75">
      <c r="A23" t="s">
        <v>2617</v>
      </c>
      <c r="B23" t="s">
        <v>2618</v>
      </c>
      <c r="C23" t="s">
        <v>1589</v>
      </c>
      <c r="D23" t="s">
        <v>2619</v>
      </c>
      <c r="F23" t="s">
        <v>1592</v>
      </c>
      <c r="G23">
        <v>0</v>
      </c>
      <c r="H23">
        <v>1</v>
      </c>
      <c r="I23">
        <v>2</v>
      </c>
      <c r="J23">
        <v>0</v>
      </c>
      <c r="K23">
        <v>127176</v>
      </c>
      <c r="L23">
        <v>0</v>
      </c>
      <c r="M23">
        <v>0</v>
      </c>
      <c r="N23">
        <v>0</v>
      </c>
      <c r="O23">
        <v>0</v>
      </c>
      <c r="P23">
        <v>47470</v>
      </c>
      <c r="Q23">
        <v>0</v>
      </c>
      <c r="R23">
        <v>0</v>
      </c>
      <c r="S23">
        <f t="shared" si="0"/>
        <v>47470</v>
      </c>
      <c r="T23">
        <v>0</v>
      </c>
      <c r="U23">
        <v>0</v>
      </c>
      <c r="V23">
        <v>0</v>
      </c>
      <c r="W23">
        <v>174646</v>
      </c>
    </row>
    <row r="24" spans="1:23" ht="12.75">
      <c r="A24" t="s">
        <v>2620</v>
      </c>
      <c r="B24" t="s">
        <v>2621</v>
      </c>
      <c r="C24" t="s">
        <v>1589</v>
      </c>
      <c r="D24" t="s">
        <v>2622</v>
      </c>
      <c r="F24" t="s">
        <v>1592</v>
      </c>
      <c r="G24">
        <v>1</v>
      </c>
      <c r="H24">
        <v>0</v>
      </c>
      <c r="I24">
        <v>12</v>
      </c>
      <c r="J24">
        <v>6</v>
      </c>
      <c r="K24">
        <v>478370</v>
      </c>
      <c r="L24">
        <v>0</v>
      </c>
      <c r="M24">
        <v>0</v>
      </c>
      <c r="N24">
        <v>0</v>
      </c>
      <c r="O24">
        <v>0</v>
      </c>
      <c r="P24">
        <v>11700</v>
      </c>
      <c r="Q24">
        <v>0</v>
      </c>
      <c r="R24">
        <v>0</v>
      </c>
      <c r="S24">
        <f t="shared" si="0"/>
        <v>11700</v>
      </c>
      <c r="T24">
        <v>0</v>
      </c>
      <c r="U24">
        <v>0</v>
      </c>
      <c r="V24">
        <v>0</v>
      </c>
      <c r="W24">
        <v>490070</v>
      </c>
    </row>
    <row r="25" spans="1:23" ht="12.75">
      <c r="A25" t="s">
        <v>2623</v>
      </c>
      <c r="B25" t="s">
        <v>2624</v>
      </c>
      <c r="C25" t="s">
        <v>1589</v>
      </c>
      <c r="D25" t="s">
        <v>2625</v>
      </c>
      <c r="F25" t="s">
        <v>1592</v>
      </c>
      <c r="G25">
        <v>1.334</v>
      </c>
      <c r="H25">
        <v>0</v>
      </c>
      <c r="I25">
        <v>3.1660000000000004</v>
      </c>
      <c r="J25">
        <v>0</v>
      </c>
      <c r="K25">
        <v>208101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f t="shared" si="0"/>
        <v>0</v>
      </c>
      <c r="T25">
        <v>0</v>
      </c>
      <c r="U25">
        <v>0</v>
      </c>
      <c r="V25">
        <v>0</v>
      </c>
      <c r="W25">
        <v>208101</v>
      </c>
    </row>
    <row r="26" spans="1:23" ht="12.75">
      <c r="A26" t="s">
        <v>2626</v>
      </c>
      <c r="B26" t="s">
        <v>2627</v>
      </c>
      <c r="C26" t="s">
        <v>1589</v>
      </c>
      <c r="D26" t="s">
        <v>2628</v>
      </c>
      <c r="F26" t="s">
        <v>1592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21150</v>
      </c>
      <c r="Q26">
        <v>0</v>
      </c>
      <c r="R26">
        <v>0</v>
      </c>
      <c r="S26">
        <f t="shared" si="0"/>
        <v>21150</v>
      </c>
      <c r="T26">
        <v>0</v>
      </c>
      <c r="U26">
        <v>0</v>
      </c>
      <c r="V26">
        <v>0</v>
      </c>
      <c r="W26">
        <v>21150</v>
      </c>
    </row>
    <row r="27" spans="1:23" ht="12.75">
      <c r="A27" t="s">
        <v>2629</v>
      </c>
      <c r="B27" t="s">
        <v>2630</v>
      </c>
      <c r="C27" t="s">
        <v>1589</v>
      </c>
      <c r="D27" t="s">
        <v>2631</v>
      </c>
      <c r="F27" t="s">
        <v>1592</v>
      </c>
      <c r="G27">
        <v>1</v>
      </c>
      <c r="H27">
        <v>0</v>
      </c>
      <c r="I27">
        <v>5</v>
      </c>
      <c r="J27">
        <v>0</v>
      </c>
      <c r="K27">
        <v>273036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f t="shared" si="0"/>
        <v>0</v>
      </c>
      <c r="T27">
        <v>0</v>
      </c>
      <c r="U27">
        <v>0</v>
      </c>
      <c r="V27">
        <v>0</v>
      </c>
      <c r="W27">
        <v>273036</v>
      </c>
    </row>
    <row r="28" spans="1:23" ht="12.75">
      <c r="A28" t="s">
        <v>2632</v>
      </c>
      <c r="B28" t="s">
        <v>2633</v>
      </c>
      <c r="C28" t="s">
        <v>1589</v>
      </c>
      <c r="D28" t="s">
        <v>2634</v>
      </c>
      <c r="F28" t="s">
        <v>1592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114368</v>
      </c>
      <c r="Q28">
        <v>0</v>
      </c>
      <c r="R28">
        <v>0</v>
      </c>
      <c r="S28">
        <f t="shared" si="0"/>
        <v>114368</v>
      </c>
      <c r="T28">
        <v>0</v>
      </c>
      <c r="U28">
        <v>0</v>
      </c>
      <c r="V28">
        <v>0</v>
      </c>
      <c r="W28">
        <v>114368</v>
      </c>
    </row>
    <row r="29" spans="1:23" ht="12.75">
      <c r="A29" t="s">
        <v>2635</v>
      </c>
      <c r="B29" t="s">
        <v>2636</v>
      </c>
      <c r="C29" t="s">
        <v>1589</v>
      </c>
      <c r="D29" t="s">
        <v>2637</v>
      </c>
      <c r="F29" t="s">
        <v>1592</v>
      </c>
      <c r="G29">
        <v>1</v>
      </c>
      <c r="H29">
        <v>0</v>
      </c>
      <c r="I29">
        <v>5</v>
      </c>
      <c r="J29">
        <v>0</v>
      </c>
      <c r="K29">
        <v>239868</v>
      </c>
      <c r="L29">
        <v>0</v>
      </c>
      <c r="M29">
        <v>0</v>
      </c>
      <c r="N29">
        <v>0</v>
      </c>
      <c r="O29">
        <v>0</v>
      </c>
      <c r="P29">
        <v>5000</v>
      </c>
      <c r="Q29">
        <v>0</v>
      </c>
      <c r="R29">
        <v>0</v>
      </c>
      <c r="S29">
        <f t="shared" si="0"/>
        <v>5000</v>
      </c>
      <c r="T29">
        <v>0</v>
      </c>
      <c r="U29">
        <v>0</v>
      </c>
      <c r="V29">
        <v>0</v>
      </c>
      <c r="W29">
        <v>244868</v>
      </c>
    </row>
    <row r="30" spans="1:23" ht="12.75">
      <c r="A30" t="s">
        <v>2638</v>
      </c>
      <c r="B30" t="s">
        <v>2639</v>
      </c>
      <c r="C30" t="s">
        <v>1589</v>
      </c>
      <c r="D30" t="s">
        <v>2640</v>
      </c>
      <c r="F30" t="s">
        <v>1592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34010</v>
      </c>
      <c r="Q30">
        <v>0</v>
      </c>
      <c r="R30">
        <v>0</v>
      </c>
      <c r="S30">
        <f t="shared" si="0"/>
        <v>34010</v>
      </c>
      <c r="T30">
        <v>0</v>
      </c>
      <c r="U30">
        <v>0</v>
      </c>
      <c r="V30">
        <v>0</v>
      </c>
      <c r="W30">
        <v>34010</v>
      </c>
    </row>
    <row r="31" spans="1:23" ht="12.75">
      <c r="A31" t="s">
        <v>2641</v>
      </c>
      <c r="B31" t="s">
        <v>2642</v>
      </c>
      <c r="C31" t="s">
        <v>1589</v>
      </c>
      <c r="D31" t="s">
        <v>2643</v>
      </c>
      <c r="F31" t="s">
        <v>1592</v>
      </c>
      <c r="G31">
        <v>2</v>
      </c>
      <c r="H31">
        <v>0</v>
      </c>
      <c r="I31">
        <v>4</v>
      </c>
      <c r="J31">
        <v>0</v>
      </c>
      <c r="K31">
        <v>279600</v>
      </c>
      <c r="L31">
        <v>0</v>
      </c>
      <c r="M31">
        <v>0</v>
      </c>
      <c r="N31">
        <v>0</v>
      </c>
      <c r="O31">
        <v>0</v>
      </c>
      <c r="P31">
        <v>26000</v>
      </c>
      <c r="Q31">
        <v>0</v>
      </c>
      <c r="R31">
        <v>0</v>
      </c>
      <c r="S31">
        <f t="shared" si="0"/>
        <v>26000</v>
      </c>
      <c r="T31">
        <v>0</v>
      </c>
      <c r="U31">
        <v>0</v>
      </c>
      <c r="V31">
        <v>0</v>
      </c>
      <c r="W31">
        <v>305600</v>
      </c>
    </row>
    <row r="32" spans="1:23" ht="12.75">
      <c r="A32" t="s">
        <v>2644</v>
      </c>
      <c r="B32" t="s">
        <v>2645</v>
      </c>
      <c r="C32" t="s">
        <v>1589</v>
      </c>
      <c r="D32" t="s">
        <v>2646</v>
      </c>
      <c r="F32" t="s">
        <v>1592</v>
      </c>
      <c r="G32">
        <v>1</v>
      </c>
      <c r="H32">
        <v>0</v>
      </c>
      <c r="I32">
        <v>2</v>
      </c>
      <c r="J32">
        <v>0</v>
      </c>
      <c r="K32">
        <v>188088</v>
      </c>
      <c r="L32">
        <v>0</v>
      </c>
      <c r="M32">
        <v>0</v>
      </c>
      <c r="N32">
        <v>0</v>
      </c>
      <c r="O32">
        <v>0</v>
      </c>
      <c r="P32">
        <v>47600</v>
      </c>
      <c r="Q32">
        <v>0</v>
      </c>
      <c r="R32">
        <v>0</v>
      </c>
      <c r="S32">
        <f t="shared" si="0"/>
        <v>47600</v>
      </c>
      <c r="T32">
        <v>0</v>
      </c>
      <c r="U32">
        <v>0</v>
      </c>
      <c r="V32">
        <v>0</v>
      </c>
      <c r="W32">
        <v>235688</v>
      </c>
    </row>
    <row r="33" spans="1:23" ht="12.75">
      <c r="A33" t="s">
        <v>2647</v>
      </c>
      <c r="B33" t="s">
        <v>2648</v>
      </c>
      <c r="C33" t="s">
        <v>1589</v>
      </c>
      <c r="D33" t="s">
        <v>2649</v>
      </c>
      <c r="F33" t="s">
        <v>1592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100000</v>
      </c>
      <c r="Q33">
        <v>0</v>
      </c>
      <c r="R33">
        <v>0</v>
      </c>
      <c r="S33">
        <f t="shared" si="0"/>
        <v>100000</v>
      </c>
      <c r="T33">
        <v>0</v>
      </c>
      <c r="U33">
        <v>0</v>
      </c>
      <c r="V33">
        <v>0</v>
      </c>
      <c r="W33">
        <v>100000</v>
      </c>
    </row>
    <row r="34" spans="1:23" ht="12.75">
      <c r="A34" t="s">
        <v>2650</v>
      </c>
      <c r="B34" t="s">
        <v>2651</v>
      </c>
      <c r="C34" t="s">
        <v>1589</v>
      </c>
      <c r="D34" t="s">
        <v>2652</v>
      </c>
      <c r="F34" t="s">
        <v>1592</v>
      </c>
      <c r="G34">
        <v>1</v>
      </c>
      <c r="H34">
        <v>0</v>
      </c>
      <c r="I34">
        <v>7</v>
      </c>
      <c r="J34">
        <v>0</v>
      </c>
      <c r="K34">
        <v>259016</v>
      </c>
      <c r="L34">
        <v>0</v>
      </c>
      <c r="M34">
        <v>1550</v>
      </c>
      <c r="N34">
        <v>0</v>
      </c>
      <c r="O34">
        <v>0</v>
      </c>
      <c r="P34">
        <v>0</v>
      </c>
      <c r="Q34">
        <v>0</v>
      </c>
      <c r="R34">
        <v>0</v>
      </c>
      <c r="S34">
        <f t="shared" si="0"/>
        <v>0</v>
      </c>
      <c r="T34">
        <v>0</v>
      </c>
      <c r="U34">
        <v>0</v>
      </c>
      <c r="V34">
        <v>0</v>
      </c>
      <c r="W34">
        <v>260566</v>
      </c>
    </row>
    <row r="35" spans="1:23" ht="12.75">
      <c r="A35" t="s">
        <v>2653</v>
      </c>
      <c r="B35" t="s">
        <v>2654</v>
      </c>
      <c r="C35" t="s">
        <v>1589</v>
      </c>
      <c r="D35" t="s">
        <v>2655</v>
      </c>
      <c r="F35" t="s">
        <v>1592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45925</v>
      </c>
      <c r="Q35">
        <v>0</v>
      </c>
      <c r="R35">
        <v>0</v>
      </c>
      <c r="S35">
        <f t="shared" si="0"/>
        <v>45925</v>
      </c>
      <c r="T35">
        <v>0</v>
      </c>
      <c r="U35">
        <v>0</v>
      </c>
      <c r="V35">
        <v>0</v>
      </c>
      <c r="W35">
        <v>45925</v>
      </c>
    </row>
    <row r="36" spans="1:23" ht="12.75">
      <c r="A36" t="s">
        <v>2656</v>
      </c>
      <c r="B36" t="s">
        <v>2657</v>
      </c>
      <c r="C36" t="s">
        <v>1589</v>
      </c>
      <c r="D36" t="s">
        <v>2658</v>
      </c>
      <c r="F36" t="s">
        <v>1592</v>
      </c>
      <c r="G36">
        <v>1</v>
      </c>
      <c r="H36">
        <v>0</v>
      </c>
      <c r="I36">
        <v>2</v>
      </c>
      <c r="J36">
        <v>0</v>
      </c>
      <c r="K36">
        <v>190668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f t="shared" si="0"/>
        <v>0</v>
      </c>
      <c r="T36">
        <v>0</v>
      </c>
      <c r="U36">
        <v>0</v>
      </c>
      <c r="V36">
        <v>0</v>
      </c>
      <c r="W36">
        <v>190668</v>
      </c>
    </row>
    <row r="37" spans="1:23" ht="12.75">
      <c r="A37" t="s">
        <v>2659</v>
      </c>
      <c r="B37" t="s">
        <v>2660</v>
      </c>
      <c r="C37" t="s">
        <v>1589</v>
      </c>
      <c r="D37" t="s">
        <v>2661</v>
      </c>
      <c r="F37" t="s">
        <v>1592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1000</v>
      </c>
      <c r="N37">
        <v>0</v>
      </c>
      <c r="O37">
        <v>0</v>
      </c>
      <c r="P37">
        <v>7360</v>
      </c>
      <c r="Q37">
        <v>0</v>
      </c>
      <c r="R37">
        <v>0</v>
      </c>
      <c r="S37">
        <f t="shared" si="0"/>
        <v>7360</v>
      </c>
      <c r="T37">
        <v>0</v>
      </c>
      <c r="U37">
        <v>0</v>
      </c>
      <c r="V37">
        <v>0</v>
      </c>
      <c r="W37">
        <v>8360</v>
      </c>
    </row>
    <row r="38" spans="1:23" ht="12.75">
      <c r="A38" t="s">
        <v>2662</v>
      </c>
      <c r="B38" t="s">
        <v>2663</v>
      </c>
      <c r="C38" t="s">
        <v>1589</v>
      </c>
      <c r="D38" t="s">
        <v>2664</v>
      </c>
      <c r="F38" t="s">
        <v>1592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11000</v>
      </c>
      <c r="N38">
        <v>0</v>
      </c>
      <c r="O38">
        <v>0</v>
      </c>
      <c r="P38">
        <v>93910</v>
      </c>
      <c r="Q38">
        <v>0</v>
      </c>
      <c r="R38">
        <v>0</v>
      </c>
      <c r="S38">
        <f t="shared" si="0"/>
        <v>93910</v>
      </c>
      <c r="T38">
        <v>0</v>
      </c>
      <c r="U38">
        <v>0</v>
      </c>
      <c r="V38">
        <v>0</v>
      </c>
      <c r="W38">
        <v>104910</v>
      </c>
    </row>
    <row r="39" spans="1:23" ht="12.75">
      <c r="A39" t="s">
        <v>2665</v>
      </c>
      <c r="B39" t="s">
        <v>2666</v>
      </c>
      <c r="C39" t="s">
        <v>1589</v>
      </c>
      <c r="D39" t="s">
        <v>2667</v>
      </c>
      <c r="F39" t="s">
        <v>1592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5000</v>
      </c>
      <c r="N39">
        <v>0</v>
      </c>
      <c r="O39">
        <v>0</v>
      </c>
      <c r="P39">
        <v>38616</v>
      </c>
      <c r="Q39">
        <v>0</v>
      </c>
      <c r="R39">
        <v>0</v>
      </c>
      <c r="S39">
        <f t="shared" si="0"/>
        <v>38616</v>
      </c>
      <c r="T39">
        <v>0</v>
      </c>
      <c r="U39">
        <v>0</v>
      </c>
      <c r="V39">
        <v>0</v>
      </c>
      <c r="W39">
        <v>43616</v>
      </c>
    </row>
    <row r="40" spans="1:23" ht="12.75">
      <c r="A40" t="s">
        <v>2668</v>
      </c>
      <c r="B40" t="s">
        <v>2669</v>
      </c>
      <c r="C40" t="s">
        <v>1589</v>
      </c>
      <c r="D40" t="s">
        <v>2670</v>
      </c>
      <c r="F40" t="s">
        <v>1592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18000</v>
      </c>
      <c r="N40">
        <v>0</v>
      </c>
      <c r="O40">
        <v>0</v>
      </c>
      <c r="P40">
        <v>396464</v>
      </c>
      <c r="Q40">
        <v>0</v>
      </c>
      <c r="R40">
        <v>0</v>
      </c>
      <c r="S40">
        <f t="shared" si="0"/>
        <v>396464</v>
      </c>
      <c r="T40">
        <v>0</v>
      </c>
      <c r="U40">
        <v>0</v>
      </c>
      <c r="V40">
        <v>0</v>
      </c>
      <c r="W40">
        <v>414464</v>
      </c>
    </row>
    <row r="41" spans="1:23" ht="12.75">
      <c r="A41" t="s">
        <v>2671</v>
      </c>
      <c r="B41" t="s">
        <v>2672</v>
      </c>
      <c r="C41" t="s">
        <v>1589</v>
      </c>
      <c r="D41" t="s">
        <v>2673</v>
      </c>
      <c r="F41" t="s">
        <v>1592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41000</v>
      </c>
      <c r="N41">
        <v>0</v>
      </c>
      <c r="O41">
        <v>0</v>
      </c>
      <c r="P41">
        <v>58659</v>
      </c>
      <c r="Q41">
        <v>0</v>
      </c>
      <c r="R41">
        <v>0</v>
      </c>
      <c r="S41">
        <f t="shared" si="0"/>
        <v>58659</v>
      </c>
      <c r="T41">
        <v>0</v>
      </c>
      <c r="U41">
        <v>0</v>
      </c>
      <c r="V41">
        <v>0</v>
      </c>
      <c r="W41">
        <v>99659</v>
      </c>
    </row>
    <row r="42" spans="1:23" ht="12.75">
      <c r="A42" t="s">
        <v>2674</v>
      </c>
      <c r="B42" t="s">
        <v>2675</v>
      </c>
      <c r="C42" t="s">
        <v>1589</v>
      </c>
      <c r="D42" t="s">
        <v>2676</v>
      </c>
      <c r="F42" t="s">
        <v>1592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124000</v>
      </c>
      <c r="N42">
        <v>0</v>
      </c>
      <c r="O42">
        <v>0</v>
      </c>
      <c r="P42">
        <v>43040</v>
      </c>
      <c r="Q42">
        <v>0</v>
      </c>
      <c r="R42">
        <v>0</v>
      </c>
      <c r="S42">
        <f t="shared" si="0"/>
        <v>43040</v>
      </c>
      <c r="T42">
        <v>0</v>
      </c>
      <c r="U42">
        <v>0</v>
      </c>
      <c r="V42">
        <v>0</v>
      </c>
      <c r="W42">
        <v>167040</v>
      </c>
    </row>
    <row r="43" spans="1:23" ht="12.75">
      <c r="A43" t="s">
        <v>2677</v>
      </c>
      <c r="B43" t="s">
        <v>2678</v>
      </c>
      <c r="C43" t="s">
        <v>1589</v>
      </c>
      <c r="D43" t="s">
        <v>2679</v>
      </c>
      <c r="F43" t="s">
        <v>1592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367906</v>
      </c>
      <c r="Q43">
        <v>0</v>
      </c>
      <c r="R43">
        <v>0</v>
      </c>
      <c r="S43">
        <f t="shared" si="0"/>
        <v>367906</v>
      </c>
      <c r="T43">
        <v>0</v>
      </c>
      <c r="U43">
        <v>0</v>
      </c>
      <c r="V43">
        <v>0</v>
      </c>
      <c r="W43">
        <v>367906</v>
      </c>
    </row>
    <row r="44" spans="1:23" ht="12.75">
      <c r="A44" t="s">
        <v>2680</v>
      </c>
      <c r="B44" t="s">
        <v>2681</v>
      </c>
      <c r="C44" t="s">
        <v>1589</v>
      </c>
      <c r="D44" t="s">
        <v>2682</v>
      </c>
      <c r="F44" t="s">
        <v>1592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20841</v>
      </c>
      <c r="Q44">
        <v>0</v>
      </c>
      <c r="R44">
        <v>0</v>
      </c>
      <c r="S44">
        <f t="shared" si="0"/>
        <v>20841</v>
      </c>
      <c r="T44">
        <v>0</v>
      </c>
      <c r="U44">
        <v>0</v>
      </c>
      <c r="V44">
        <v>0</v>
      </c>
      <c r="W44">
        <v>20841</v>
      </c>
    </row>
    <row r="45" spans="1:23" ht="12.75">
      <c r="A45" t="s">
        <v>2683</v>
      </c>
      <c r="B45" t="s">
        <v>2684</v>
      </c>
      <c r="C45" t="s">
        <v>1589</v>
      </c>
      <c r="D45" t="s">
        <v>2685</v>
      </c>
      <c r="F45" t="s">
        <v>1592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13894</v>
      </c>
      <c r="Q45">
        <v>0</v>
      </c>
      <c r="R45">
        <v>0</v>
      </c>
      <c r="S45">
        <f t="shared" si="0"/>
        <v>13894</v>
      </c>
      <c r="T45">
        <v>0</v>
      </c>
      <c r="U45">
        <v>0</v>
      </c>
      <c r="V45">
        <v>0</v>
      </c>
      <c r="W45">
        <v>13894</v>
      </c>
    </row>
    <row r="46" spans="1:23" ht="12.75">
      <c r="A46" t="s">
        <v>1587</v>
      </c>
      <c r="B46" t="s">
        <v>1588</v>
      </c>
      <c r="C46" t="s">
        <v>1589</v>
      </c>
      <c r="D46" t="s">
        <v>1590</v>
      </c>
      <c r="F46" t="s">
        <v>1592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f t="shared" si="0"/>
        <v>0</v>
      </c>
      <c r="T46">
        <v>180136</v>
      </c>
      <c r="U46">
        <v>0</v>
      </c>
      <c r="V46">
        <v>0</v>
      </c>
      <c r="W46">
        <v>180136</v>
      </c>
    </row>
    <row r="47" spans="1:23" ht="12.75">
      <c r="A47" t="s">
        <v>1593</v>
      </c>
      <c r="B47" t="s">
        <v>1594</v>
      </c>
      <c r="C47" t="s">
        <v>1589</v>
      </c>
      <c r="D47" t="s">
        <v>1595</v>
      </c>
      <c r="F47" t="s">
        <v>1592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f t="shared" si="0"/>
        <v>0</v>
      </c>
      <c r="T47">
        <v>45232</v>
      </c>
      <c r="U47">
        <v>0</v>
      </c>
      <c r="V47">
        <v>0</v>
      </c>
      <c r="W47">
        <v>45232</v>
      </c>
    </row>
    <row r="48" spans="1:23" ht="12.75">
      <c r="A48" t="s">
        <v>1596</v>
      </c>
      <c r="B48" t="s">
        <v>1597</v>
      </c>
      <c r="C48" t="s">
        <v>1589</v>
      </c>
      <c r="D48" t="s">
        <v>1598</v>
      </c>
      <c r="F48" t="s">
        <v>1592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f t="shared" si="0"/>
        <v>0</v>
      </c>
      <c r="T48">
        <v>1497960</v>
      </c>
      <c r="U48">
        <v>0</v>
      </c>
      <c r="V48">
        <v>0</v>
      </c>
      <c r="W48">
        <v>1497960</v>
      </c>
    </row>
    <row r="49" spans="1:23" ht="12.75">
      <c r="A49" t="s">
        <v>1599</v>
      </c>
      <c r="B49" t="s">
        <v>1600</v>
      </c>
      <c r="C49" t="s">
        <v>1589</v>
      </c>
      <c r="D49" t="s">
        <v>1601</v>
      </c>
      <c r="F49" t="s">
        <v>1592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f t="shared" si="0"/>
        <v>0</v>
      </c>
      <c r="T49">
        <v>43300</v>
      </c>
      <c r="U49">
        <v>0</v>
      </c>
      <c r="V49">
        <v>0</v>
      </c>
      <c r="W49">
        <v>43300</v>
      </c>
    </row>
    <row r="50" spans="1:23" ht="12.75">
      <c r="A50" t="s">
        <v>1602</v>
      </c>
      <c r="B50" t="s">
        <v>1603</v>
      </c>
      <c r="C50" t="s">
        <v>1589</v>
      </c>
      <c r="D50" t="s">
        <v>1604</v>
      </c>
      <c r="F50" t="s">
        <v>1592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f t="shared" si="0"/>
        <v>0</v>
      </c>
      <c r="T50">
        <v>2082800</v>
      </c>
      <c r="U50">
        <v>0</v>
      </c>
      <c r="V50">
        <v>0</v>
      </c>
      <c r="W50">
        <v>2082800</v>
      </c>
    </row>
    <row r="51" spans="1:23" ht="12.75">
      <c r="A51" t="s">
        <v>1605</v>
      </c>
      <c r="B51" t="s">
        <v>1606</v>
      </c>
      <c r="C51" t="s">
        <v>1589</v>
      </c>
      <c r="D51" t="s">
        <v>1607</v>
      </c>
      <c r="F51" t="s">
        <v>1592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f t="shared" si="0"/>
        <v>0</v>
      </c>
      <c r="T51">
        <v>36840</v>
      </c>
      <c r="U51">
        <v>0</v>
      </c>
      <c r="V51">
        <v>0</v>
      </c>
      <c r="W51">
        <v>36840</v>
      </c>
    </row>
    <row r="52" spans="1:23" ht="12.75">
      <c r="A52" t="s">
        <v>1608</v>
      </c>
      <c r="B52" t="s">
        <v>1609</v>
      </c>
      <c r="C52" t="s">
        <v>1589</v>
      </c>
      <c r="D52" t="s">
        <v>1610</v>
      </c>
      <c r="F52" t="s">
        <v>1592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f t="shared" si="0"/>
        <v>0</v>
      </c>
      <c r="T52">
        <v>10000</v>
      </c>
      <c r="U52">
        <v>0</v>
      </c>
      <c r="V52">
        <v>0</v>
      </c>
      <c r="W52">
        <v>10000</v>
      </c>
    </row>
    <row r="53" spans="1:23" ht="12.75">
      <c r="A53" t="s">
        <v>1611</v>
      </c>
      <c r="B53" t="s">
        <v>1612</v>
      </c>
      <c r="C53" t="s">
        <v>1589</v>
      </c>
      <c r="D53" t="s">
        <v>1613</v>
      </c>
      <c r="F53" t="s">
        <v>1592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f t="shared" si="0"/>
        <v>0</v>
      </c>
      <c r="T53">
        <v>324912</v>
      </c>
      <c r="U53">
        <v>0</v>
      </c>
      <c r="V53">
        <v>0</v>
      </c>
      <c r="W53">
        <v>324912</v>
      </c>
    </row>
    <row r="54" spans="1:23" ht="12.75">
      <c r="A54" t="s">
        <v>1614</v>
      </c>
      <c r="B54" t="s">
        <v>1615</v>
      </c>
      <c r="C54" t="s">
        <v>1589</v>
      </c>
      <c r="D54" t="s">
        <v>1616</v>
      </c>
      <c r="F54" t="s">
        <v>1592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f t="shared" si="0"/>
        <v>0</v>
      </c>
      <c r="T54">
        <v>119456</v>
      </c>
      <c r="U54">
        <v>0</v>
      </c>
      <c r="V54">
        <v>0</v>
      </c>
      <c r="W54">
        <v>119456</v>
      </c>
    </row>
    <row r="55" spans="1:23" ht="12.75">
      <c r="A55" t="s">
        <v>1617</v>
      </c>
      <c r="B55" t="s">
        <v>1618</v>
      </c>
      <c r="C55" t="s">
        <v>1589</v>
      </c>
      <c r="D55" t="s">
        <v>1619</v>
      </c>
      <c r="F55" t="s">
        <v>1592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f t="shared" si="0"/>
        <v>0</v>
      </c>
      <c r="T55">
        <v>97812</v>
      </c>
      <c r="U55">
        <v>0</v>
      </c>
      <c r="V55">
        <v>0</v>
      </c>
      <c r="W55">
        <v>97812</v>
      </c>
    </row>
    <row r="56" spans="1:23" ht="12.75">
      <c r="A56" t="s">
        <v>1620</v>
      </c>
      <c r="B56" t="s">
        <v>1621</v>
      </c>
      <c r="C56" t="s">
        <v>1589</v>
      </c>
      <c r="D56" t="s">
        <v>1622</v>
      </c>
      <c r="F56" t="s">
        <v>1592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f t="shared" si="0"/>
        <v>0</v>
      </c>
      <c r="T56">
        <v>19380</v>
      </c>
      <c r="U56">
        <v>0</v>
      </c>
      <c r="V56">
        <v>0</v>
      </c>
      <c r="W56">
        <v>19380</v>
      </c>
    </row>
    <row r="57" spans="1:23" ht="12.75">
      <c r="A57" t="s">
        <v>1623</v>
      </c>
      <c r="B57" t="s">
        <v>1624</v>
      </c>
      <c r="C57" t="s">
        <v>1589</v>
      </c>
      <c r="D57" t="s">
        <v>1625</v>
      </c>
      <c r="F57" t="s">
        <v>1592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f t="shared" si="0"/>
        <v>0</v>
      </c>
      <c r="T57">
        <v>20000</v>
      </c>
      <c r="U57">
        <v>0</v>
      </c>
      <c r="V57">
        <v>0</v>
      </c>
      <c r="W57">
        <v>20000</v>
      </c>
    </row>
    <row r="58" spans="1:23" ht="12.75">
      <c r="A58" t="s">
        <v>1626</v>
      </c>
      <c r="B58" t="s">
        <v>1627</v>
      </c>
      <c r="C58" t="s">
        <v>1589</v>
      </c>
      <c r="D58" t="s">
        <v>1628</v>
      </c>
      <c r="F58" t="s">
        <v>1592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f t="shared" si="0"/>
        <v>0</v>
      </c>
      <c r="T58">
        <v>686200</v>
      </c>
      <c r="U58">
        <v>0</v>
      </c>
      <c r="V58">
        <v>0</v>
      </c>
      <c r="W58">
        <v>686200</v>
      </c>
    </row>
    <row r="59" spans="1:23" ht="12.75">
      <c r="A59" t="s">
        <v>1629</v>
      </c>
      <c r="B59" t="s">
        <v>1639</v>
      </c>
      <c r="C59" t="s">
        <v>1589</v>
      </c>
      <c r="D59" t="s">
        <v>1640</v>
      </c>
      <c r="F59" t="s">
        <v>1592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f t="shared" si="0"/>
        <v>0</v>
      </c>
      <c r="T59">
        <v>161280</v>
      </c>
      <c r="U59">
        <v>0</v>
      </c>
      <c r="V59">
        <v>0</v>
      </c>
      <c r="W59">
        <v>161280</v>
      </c>
    </row>
    <row r="60" spans="1:23" ht="12.75">
      <c r="A60" t="s">
        <v>1641</v>
      </c>
      <c r="B60" t="s">
        <v>1642</v>
      </c>
      <c r="C60" t="s">
        <v>1589</v>
      </c>
      <c r="D60" t="s">
        <v>1643</v>
      </c>
      <c r="F60" t="s">
        <v>1592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f t="shared" si="0"/>
        <v>0</v>
      </c>
      <c r="T60">
        <v>69392</v>
      </c>
      <c r="U60">
        <v>0</v>
      </c>
      <c r="V60">
        <v>0</v>
      </c>
      <c r="W60">
        <v>69392</v>
      </c>
    </row>
    <row r="61" spans="1:23" ht="12.75">
      <c r="A61" t="s">
        <v>1644</v>
      </c>
      <c r="B61" t="s">
        <v>1645</v>
      </c>
      <c r="C61" t="s">
        <v>1589</v>
      </c>
      <c r="D61" t="s">
        <v>1646</v>
      </c>
      <c r="F61" t="s">
        <v>1592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f t="shared" si="0"/>
        <v>0</v>
      </c>
      <c r="T61">
        <v>173952</v>
      </c>
      <c r="U61">
        <v>0</v>
      </c>
      <c r="V61">
        <v>0</v>
      </c>
      <c r="W61">
        <v>173952</v>
      </c>
    </row>
    <row r="62" spans="1:23" ht="12.75">
      <c r="A62" t="s">
        <v>1647</v>
      </c>
      <c r="B62" t="s">
        <v>1648</v>
      </c>
      <c r="C62" t="s">
        <v>1589</v>
      </c>
      <c r="D62" t="s">
        <v>1649</v>
      </c>
      <c r="F62" t="s">
        <v>1592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f t="shared" si="0"/>
        <v>0</v>
      </c>
      <c r="T62">
        <v>50400</v>
      </c>
      <c r="U62">
        <v>0</v>
      </c>
      <c r="V62">
        <v>0</v>
      </c>
      <c r="W62">
        <v>50400</v>
      </c>
    </row>
    <row r="63" spans="1:23" ht="12.75">
      <c r="A63" t="s">
        <v>1650</v>
      </c>
      <c r="B63" t="s">
        <v>1651</v>
      </c>
      <c r="C63" t="s">
        <v>1589</v>
      </c>
      <c r="D63" t="s">
        <v>1652</v>
      </c>
      <c r="F63" t="s">
        <v>1592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f t="shared" si="0"/>
        <v>0</v>
      </c>
      <c r="T63">
        <v>15000</v>
      </c>
      <c r="U63">
        <v>0</v>
      </c>
      <c r="V63">
        <v>0</v>
      </c>
      <c r="W63">
        <v>15000</v>
      </c>
    </row>
    <row r="64" spans="1:23" ht="12.75">
      <c r="A64" t="s">
        <v>1653</v>
      </c>
      <c r="B64" t="s">
        <v>1654</v>
      </c>
      <c r="C64" t="s">
        <v>1589</v>
      </c>
      <c r="D64" t="s">
        <v>1655</v>
      </c>
      <c r="F64" t="s">
        <v>1592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f t="shared" si="0"/>
        <v>0</v>
      </c>
      <c r="T64">
        <v>120000</v>
      </c>
      <c r="U64">
        <v>0</v>
      </c>
      <c r="V64">
        <v>0</v>
      </c>
      <c r="W64">
        <v>120000</v>
      </c>
    </row>
    <row r="65" spans="1:23" ht="12.75">
      <c r="A65" t="s">
        <v>1656</v>
      </c>
      <c r="B65" t="s">
        <v>1657</v>
      </c>
      <c r="C65" t="s">
        <v>1589</v>
      </c>
      <c r="D65" t="s">
        <v>1658</v>
      </c>
      <c r="F65" t="s">
        <v>1592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f t="shared" si="0"/>
        <v>0</v>
      </c>
      <c r="T65">
        <v>120000</v>
      </c>
      <c r="U65">
        <v>0</v>
      </c>
      <c r="V65">
        <v>0</v>
      </c>
      <c r="W65">
        <v>120000</v>
      </c>
    </row>
    <row r="66" spans="1:23" ht="12.75">
      <c r="A66" t="s">
        <v>1659</v>
      </c>
      <c r="B66" t="s">
        <v>1660</v>
      </c>
      <c r="C66" t="s">
        <v>1589</v>
      </c>
      <c r="D66" t="s">
        <v>1661</v>
      </c>
      <c r="F66" t="s">
        <v>1592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f t="shared" si="0"/>
        <v>0</v>
      </c>
      <c r="T66">
        <v>1023950</v>
      </c>
      <c r="U66">
        <v>0</v>
      </c>
      <c r="V66">
        <v>0</v>
      </c>
      <c r="W66">
        <v>1023950</v>
      </c>
    </row>
    <row r="67" spans="1:23" ht="12.75">
      <c r="A67" t="s">
        <v>1662</v>
      </c>
      <c r="B67" t="s">
        <v>1663</v>
      </c>
      <c r="C67" t="s">
        <v>1589</v>
      </c>
      <c r="D67" t="s">
        <v>1664</v>
      </c>
      <c r="F67" t="s">
        <v>1592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f t="shared" si="0"/>
        <v>0</v>
      </c>
      <c r="T67">
        <v>126681</v>
      </c>
      <c r="U67">
        <v>0</v>
      </c>
      <c r="V67">
        <v>0</v>
      </c>
      <c r="W67">
        <v>126681</v>
      </c>
    </row>
    <row r="68" spans="1:23" ht="12.75">
      <c r="A68" t="s">
        <v>1665</v>
      </c>
      <c r="B68" t="s">
        <v>1666</v>
      </c>
      <c r="C68" t="s">
        <v>1589</v>
      </c>
      <c r="D68" t="s">
        <v>1667</v>
      </c>
      <c r="F68" t="s">
        <v>1592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f aca="true" t="shared" si="1" ref="S68:S131">SUM(P68:R68)</f>
        <v>0</v>
      </c>
      <c r="T68">
        <v>30000</v>
      </c>
      <c r="U68">
        <v>0</v>
      </c>
      <c r="V68">
        <v>0</v>
      </c>
      <c r="W68">
        <v>30000</v>
      </c>
    </row>
    <row r="69" spans="1:23" ht="12.75">
      <c r="A69" t="s">
        <v>1671</v>
      </c>
      <c r="B69" t="s">
        <v>1672</v>
      </c>
      <c r="C69" t="s">
        <v>1589</v>
      </c>
      <c r="D69" t="s">
        <v>1673</v>
      </c>
      <c r="F69" t="s">
        <v>1592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11637190</v>
      </c>
      <c r="P69">
        <v>0</v>
      </c>
      <c r="Q69">
        <v>0</v>
      </c>
      <c r="R69">
        <v>0</v>
      </c>
      <c r="S69">
        <f t="shared" si="1"/>
        <v>0</v>
      </c>
      <c r="T69">
        <v>0</v>
      </c>
      <c r="U69">
        <v>0</v>
      </c>
      <c r="V69">
        <v>0</v>
      </c>
      <c r="W69">
        <v>11637190</v>
      </c>
    </row>
    <row r="70" spans="1:23" ht="12.75">
      <c r="A70" t="s">
        <v>1674</v>
      </c>
      <c r="B70" t="s">
        <v>1675</v>
      </c>
      <c r="C70" t="s">
        <v>1589</v>
      </c>
      <c r="D70" t="s">
        <v>1676</v>
      </c>
      <c r="F70" t="s">
        <v>1592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94585</v>
      </c>
      <c r="P70">
        <v>0</v>
      </c>
      <c r="Q70">
        <v>0</v>
      </c>
      <c r="R70">
        <v>0</v>
      </c>
      <c r="S70">
        <f t="shared" si="1"/>
        <v>0</v>
      </c>
      <c r="T70">
        <v>0</v>
      </c>
      <c r="U70">
        <v>0</v>
      </c>
      <c r="V70">
        <v>0</v>
      </c>
      <c r="W70">
        <v>94585</v>
      </c>
    </row>
    <row r="71" spans="1:23" ht="12.75">
      <c r="A71" t="s">
        <v>1677</v>
      </c>
      <c r="B71" t="s">
        <v>1678</v>
      </c>
      <c r="C71" t="s">
        <v>1589</v>
      </c>
      <c r="D71" t="s">
        <v>1679</v>
      </c>
      <c r="F71" t="s">
        <v>1592</v>
      </c>
      <c r="G71">
        <v>0</v>
      </c>
      <c r="H71">
        <v>0</v>
      </c>
      <c r="I71">
        <v>0</v>
      </c>
      <c r="J71">
        <v>0</v>
      </c>
      <c r="K71">
        <v>0</v>
      </c>
      <c r="L71">
        <v>225790</v>
      </c>
      <c r="M71">
        <v>0</v>
      </c>
      <c r="N71">
        <v>0</v>
      </c>
      <c r="O71">
        <v>75000</v>
      </c>
      <c r="P71">
        <v>0</v>
      </c>
      <c r="Q71">
        <v>0</v>
      </c>
      <c r="R71">
        <v>0</v>
      </c>
      <c r="S71">
        <f t="shared" si="1"/>
        <v>0</v>
      </c>
      <c r="T71">
        <v>0</v>
      </c>
      <c r="U71">
        <v>0</v>
      </c>
      <c r="V71">
        <v>0</v>
      </c>
      <c r="W71">
        <v>300790</v>
      </c>
    </row>
    <row r="72" spans="1:23" ht="12.75">
      <c r="A72" t="s">
        <v>1681</v>
      </c>
      <c r="B72" t="s">
        <v>1682</v>
      </c>
      <c r="C72" t="s">
        <v>1589</v>
      </c>
      <c r="D72" t="s">
        <v>1683</v>
      </c>
      <c r="F72" t="s">
        <v>1592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10414</v>
      </c>
      <c r="P72">
        <v>0</v>
      </c>
      <c r="Q72">
        <v>0</v>
      </c>
      <c r="R72">
        <v>0</v>
      </c>
      <c r="S72">
        <f t="shared" si="1"/>
        <v>0</v>
      </c>
      <c r="T72">
        <v>0</v>
      </c>
      <c r="U72">
        <v>0</v>
      </c>
      <c r="V72">
        <v>0</v>
      </c>
      <c r="W72">
        <v>10414</v>
      </c>
    </row>
    <row r="73" spans="1:23" ht="12.75">
      <c r="A73" t="s">
        <v>1684</v>
      </c>
      <c r="B73" t="s">
        <v>1685</v>
      </c>
      <c r="C73" t="s">
        <v>1589</v>
      </c>
      <c r="D73" t="s">
        <v>1686</v>
      </c>
      <c r="F73" t="s">
        <v>1592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100327</v>
      </c>
      <c r="P73">
        <v>0</v>
      </c>
      <c r="Q73">
        <v>0</v>
      </c>
      <c r="R73">
        <v>0</v>
      </c>
      <c r="S73">
        <f t="shared" si="1"/>
        <v>0</v>
      </c>
      <c r="T73">
        <v>0</v>
      </c>
      <c r="U73">
        <v>0</v>
      </c>
      <c r="V73">
        <v>0</v>
      </c>
      <c r="W73">
        <v>100327</v>
      </c>
    </row>
    <row r="74" spans="1:23" ht="12.75">
      <c r="A74" t="s">
        <v>1687</v>
      </c>
      <c r="B74" t="s">
        <v>1688</v>
      </c>
      <c r="C74" t="s">
        <v>1589</v>
      </c>
      <c r="D74" t="s">
        <v>1689</v>
      </c>
      <c r="F74" t="s">
        <v>1592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12735</v>
      </c>
      <c r="P74">
        <v>0</v>
      </c>
      <c r="Q74">
        <v>0</v>
      </c>
      <c r="R74">
        <v>0</v>
      </c>
      <c r="S74">
        <f t="shared" si="1"/>
        <v>0</v>
      </c>
      <c r="T74">
        <v>0</v>
      </c>
      <c r="U74">
        <v>0</v>
      </c>
      <c r="V74">
        <v>0</v>
      </c>
      <c r="W74">
        <v>12735</v>
      </c>
    </row>
    <row r="75" spans="1:23" ht="12.75">
      <c r="A75" t="s">
        <v>1690</v>
      </c>
      <c r="B75" t="s">
        <v>1691</v>
      </c>
      <c r="C75" t="s">
        <v>1589</v>
      </c>
      <c r="D75" t="s">
        <v>1692</v>
      </c>
      <c r="F75" t="s">
        <v>1592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32090</v>
      </c>
      <c r="P75">
        <v>0</v>
      </c>
      <c r="Q75">
        <v>0</v>
      </c>
      <c r="R75">
        <v>0</v>
      </c>
      <c r="S75">
        <f t="shared" si="1"/>
        <v>0</v>
      </c>
      <c r="T75">
        <v>0</v>
      </c>
      <c r="U75">
        <v>0</v>
      </c>
      <c r="V75">
        <v>0</v>
      </c>
      <c r="W75">
        <v>32090</v>
      </c>
    </row>
    <row r="76" spans="1:23" ht="12.75">
      <c r="A76" t="s">
        <v>1693</v>
      </c>
      <c r="B76" t="s">
        <v>1694</v>
      </c>
      <c r="C76" t="s">
        <v>1589</v>
      </c>
      <c r="D76" t="s">
        <v>1695</v>
      </c>
      <c r="F76" t="s">
        <v>1592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6968</v>
      </c>
      <c r="P76">
        <v>0</v>
      </c>
      <c r="Q76">
        <v>0</v>
      </c>
      <c r="R76">
        <v>0</v>
      </c>
      <c r="S76">
        <f t="shared" si="1"/>
        <v>0</v>
      </c>
      <c r="T76">
        <v>0</v>
      </c>
      <c r="U76">
        <v>0</v>
      </c>
      <c r="V76">
        <v>0</v>
      </c>
      <c r="W76">
        <v>6968</v>
      </c>
    </row>
    <row r="77" spans="1:23" ht="12.75">
      <c r="A77" t="s">
        <v>1696</v>
      </c>
      <c r="B77" t="s">
        <v>1697</v>
      </c>
      <c r="C77" t="s">
        <v>1589</v>
      </c>
      <c r="D77" t="s">
        <v>1698</v>
      </c>
      <c r="F77" t="s">
        <v>1592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27438</v>
      </c>
      <c r="P77">
        <v>0</v>
      </c>
      <c r="Q77">
        <v>0</v>
      </c>
      <c r="R77">
        <v>0</v>
      </c>
      <c r="S77">
        <f t="shared" si="1"/>
        <v>0</v>
      </c>
      <c r="T77">
        <v>0</v>
      </c>
      <c r="U77">
        <v>0</v>
      </c>
      <c r="V77">
        <v>0</v>
      </c>
      <c r="W77">
        <v>27438</v>
      </c>
    </row>
    <row r="78" spans="1:23" ht="12.75">
      <c r="A78" t="s">
        <v>1700</v>
      </c>
      <c r="B78" t="s">
        <v>1701</v>
      </c>
      <c r="C78" t="s">
        <v>1589</v>
      </c>
      <c r="D78" t="s">
        <v>1702</v>
      </c>
      <c r="F78" t="s">
        <v>1592</v>
      </c>
      <c r="G78">
        <v>0</v>
      </c>
      <c r="H78">
        <v>0.333</v>
      </c>
      <c r="I78">
        <v>0.25</v>
      </c>
      <c r="J78">
        <v>0</v>
      </c>
      <c r="K78">
        <v>28768</v>
      </c>
      <c r="L78">
        <v>0</v>
      </c>
      <c r="M78">
        <v>930</v>
      </c>
      <c r="N78">
        <v>0</v>
      </c>
      <c r="O78">
        <v>0</v>
      </c>
      <c r="P78">
        <v>0</v>
      </c>
      <c r="Q78">
        <v>0</v>
      </c>
      <c r="R78">
        <v>0</v>
      </c>
      <c r="S78">
        <f t="shared" si="1"/>
        <v>0</v>
      </c>
      <c r="T78">
        <v>0</v>
      </c>
      <c r="U78">
        <v>0</v>
      </c>
      <c r="V78">
        <v>0</v>
      </c>
      <c r="W78">
        <v>29698</v>
      </c>
    </row>
    <row r="79" spans="1:23" ht="12.75">
      <c r="A79" t="s">
        <v>1703</v>
      </c>
      <c r="B79" t="s">
        <v>1704</v>
      </c>
      <c r="C79" t="s">
        <v>1589</v>
      </c>
      <c r="D79" t="s">
        <v>1705</v>
      </c>
      <c r="F79" t="s">
        <v>1592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100000</v>
      </c>
      <c r="Q79">
        <v>0</v>
      </c>
      <c r="R79">
        <v>0</v>
      </c>
      <c r="S79">
        <f t="shared" si="1"/>
        <v>100000</v>
      </c>
      <c r="T79">
        <v>0</v>
      </c>
      <c r="U79">
        <v>0</v>
      </c>
      <c r="V79">
        <v>0</v>
      </c>
      <c r="W79">
        <v>100000</v>
      </c>
    </row>
    <row r="80" spans="1:23" ht="12.75">
      <c r="A80" t="s">
        <v>1706</v>
      </c>
      <c r="B80" t="s">
        <v>1707</v>
      </c>
      <c r="C80" t="s">
        <v>1589</v>
      </c>
      <c r="D80" t="s">
        <v>1708</v>
      </c>
      <c r="F80" t="s">
        <v>1592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39150</v>
      </c>
      <c r="Q80">
        <v>0</v>
      </c>
      <c r="R80">
        <v>0</v>
      </c>
      <c r="S80">
        <f t="shared" si="1"/>
        <v>39150</v>
      </c>
      <c r="T80">
        <v>0</v>
      </c>
      <c r="U80">
        <v>0</v>
      </c>
      <c r="V80">
        <v>0</v>
      </c>
      <c r="W80">
        <v>39150</v>
      </c>
    </row>
    <row r="81" spans="1:23" ht="12.75">
      <c r="A81" t="s">
        <v>1709</v>
      </c>
      <c r="B81" t="s">
        <v>1710</v>
      </c>
      <c r="C81" t="s">
        <v>1589</v>
      </c>
      <c r="D81" t="s">
        <v>1711</v>
      </c>
      <c r="F81" t="s">
        <v>1592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10000</v>
      </c>
      <c r="Q81">
        <v>0</v>
      </c>
      <c r="R81">
        <v>0</v>
      </c>
      <c r="S81">
        <f t="shared" si="1"/>
        <v>10000</v>
      </c>
      <c r="T81">
        <v>0</v>
      </c>
      <c r="U81">
        <v>0</v>
      </c>
      <c r="V81">
        <v>0</v>
      </c>
      <c r="W81">
        <v>10000</v>
      </c>
    </row>
    <row r="82" spans="1:23" ht="12.75">
      <c r="A82" t="s">
        <v>1712</v>
      </c>
      <c r="B82" t="s">
        <v>1713</v>
      </c>
      <c r="C82" t="s">
        <v>1589</v>
      </c>
      <c r="D82" t="s">
        <v>1714</v>
      </c>
      <c r="F82" t="s">
        <v>1592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44395</v>
      </c>
      <c r="N82">
        <v>0</v>
      </c>
      <c r="O82">
        <v>0</v>
      </c>
      <c r="P82">
        <v>0</v>
      </c>
      <c r="Q82">
        <v>0</v>
      </c>
      <c r="R82">
        <v>0</v>
      </c>
      <c r="S82">
        <f t="shared" si="1"/>
        <v>0</v>
      </c>
      <c r="T82">
        <v>0</v>
      </c>
      <c r="U82">
        <v>0</v>
      </c>
      <c r="V82">
        <v>0</v>
      </c>
      <c r="W82">
        <v>44395</v>
      </c>
    </row>
    <row r="83" spans="1:23" ht="12.75">
      <c r="A83" t="s">
        <v>1715</v>
      </c>
      <c r="B83" t="s">
        <v>1716</v>
      </c>
      <c r="C83" t="s">
        <v>1589</v>
      </c>
      <c r="D83" t="s">
        <v>1717</v>
      </c>
      <c r="F83" t="s">
        <v>1592</v>
      </c>
      <c r="G83">
        <v>0</v>
      </c>
      <c r="H83">
        <v>3.9990000000000006</v>
      </c>
      <c r="I83">
        <v>0.666</v>
      </c>
      <c r="J83">
        <v>0</v>
      </c>
      <c r="K83">
        <v>238671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f t="shared" si="1"/>
        <v>0</v>
      </c>
      <c r="T83">
        <v>0</v>
      </c>
      <c r="U83">
        <v>0</v>
      </c>
      <c r="V83">
        <v>0</v>
      </c>
      <c r="W83">
        <v>238671</v>
      </c>
    </row>
    <row r="84" spans="1:23" ht="12.75">
      <c r="A84" t="s">
        <v>1718</v>
      </c>
      <c r="B84" t="s">
        <v>1716</v>
      </c>
      <c r="C84" t="s">
        <v>1589</v>
      </c>
      <c r="D84" t="s">
        <v>1719</v>
      </c>
      <c r="F84" t="s">
        <v>1592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17334</v>
      </c>
      <c r="O84">
        <v>0</v>
      </c>
      <c r="P84">
        <v>13320</v>
      </c>
      <c r="Q84">
        <v>0</v>
      </c>
      <c r="R84">
        <v>0</v>
      </c>
      <c r="S84">
        <f t="shared" si="1"/>
        <v>13320</v>
      </c>
      <c r="T84">
        <v>0</v>
      </c>
      <c r="U84">
        <v>0</v>
      </c>
      <c r="V84">
        <v>0</v>
      </c>
      <c r="W84">
        <v>30654</v>
      </c>
    </row>
    <row r="85" spans="1:23" ht="12.75">
      <c r="A85" t="s">
        <v>1720</v>
      </c>
      <c r="B85" t="s">
        <v>1721</v>
      </c>
      <c r="C85" t="s">
        <v>1589</v>
      </c>
      <c r="D85" t="s">
        <v>1722</v>
      </c>
      <c r="F85" t="s">
        <v>1592</v>
      </c>
      <c r="G85">
        <v>0</v>
      </c>
      <c r="H85">
        <v>5.332</v>
      </c>
      <c r="I85">
        <v>5.166</v>
      </c>
      <c r="J85">
        <v>0</v>
      </c>
      <c r="K85">
        <v>422165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f t="shared" si="1"/>
        <v>0</v>
      </c>
      <c r="T85">
        <v>0</v>
      </c>
      <c r="U85">
        <v>0</v>
      </c>
      <c r="V85">
        <v>0</v>
      </c>
      <c r="W85">
        <v>422165</v>
      </c>
    </row>
    <row r="86" spans="1:23" ht="12.75">
      <c r="A86" t="s">
        <v>1723</v>
      </c>
      <c r="B86" t="s">
        <v>1721</v>
      </c>
      <c r="C86" t="s">
        <v>1589</v>
      </c>
      <c r="D86" t="s">
        <v>1724</v>
      </c>
      <c r="F86" t="s">
        <v>1592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17334</v>
      </c>
      <c r="O86">
        <v>0</v>
      </c>
      <c r="P86">
        <v>24763</v>
      </c>
      <c r="Q86">
        <v>0</v>
      </c>
      <c r="R86">
        <v>0</v>
      </c>
      <c r="S86">
        <f t="shared" si="1"/>
        <v>24763</v>
      </c>
      <c r="T86">
        <v>0</v>
      </c>
      <c r="U86">
        <v>0</v>
      </c>
      <c r="V86">
        <v>0</v>
      </c>
      <c r="W86">
        <v>42097</v>
      </c>
    </row>
    <row r="87" spans="1:23" ht="12.75">
      <c r="A87" t="s">
        <v>1725</v>
      </c>
      <c r="B87" t="s">
        <v>1726</v>
      </c>
      <c r="C87" t="s">
        <v>1589</v>
      </c>
      <c r="D87" t="s">
        <v>1727</v>
      </c>
      <c r="F87" t="s">
        <v>1592</v>
      </c>
      <c r="G87">
        <v>0</v>
      </c>
      <c r="H87">
        <v>6.662000000000002</v>
      </c>
      <c r="I87">
        <v>1.918</v>
      </c>
      <c r="J87">
        <v>0</v>
      </c>
      <c r="K87">
        <v>408563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f t="shared" si="1"/>
        <v>0</v>
      </c>
      <c r="T87">
        <v>0</v>
      </c>
      <c r="U87">
        <v>0</v>
      </c>
      <c r="V87">
        <v>0</v>
      </c>
      <c r="W87">
        <v>408563</v>
      </c>
    </row>
    <row r="88" spans="1:23" ht="12.75">
      <c r="A88" t="s">
        <v>1728</v>
      </c>
      <c r="B88" t="s">
        <v>1726</v>
      </c>
      <c r="C88" t="s">
        <v>1589</v>
      </c>
      <c r="D88" t="s">
        <v>1729</v>
      </c>
      <c r="F88" t="s">
        <v>1592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34668</v>
      </c>
      <c r="O88">
        <v>0</v>
      </c>
      <c r="P88">
        <v>19691</v>
      </c>
      <c r="Q88">
        <v>0</v>
      </c>
      <c r="R88">
        <v>0</v>
      </c>
      <c r="S88">
        <f t="shared" si="1"/>
        <v>19691</v>
      </c>
      <c r="T88">
        <v>0</v>
      </c>
      <c r="U88">
        <v>0</v>
      </c>
      <c r="V88">
        <v>0</v>
      </c>
      <c r="W88">
        <v>54359</v>
      </c>
    </row>
    <row r="89" spans="1:23" ht="12.75">
      <c r="A89" t="s">
        <v>1730</v>
      </c>
      <c r="B89" t="s">
        <v>1731</v>
      </c>
      <c r="C89" t="s">
        <v>1589</v>
      </c>
      <c r="D89" t="s">
        <v>1732</v>
      </c>
      <c r="F89" t="s">
        <v>1592</v>
      </c>
      <c r="G89">
        <v>0</v>
      </c>
      <c r="H89">
        <v>6.083</v>
      </c>
      <c r="I89">
        <v>1.251</v>
      </c>
      <c r="J89">
        <v>1.865</v>
      </c>
      <c r="K89">
        <v>358442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f t="shared" si="1"/>
        <v>0</v>
      </c>
      <c r="T89">
        <v>0</v>
      </c>
      <c r="U89">
        <v>0</v>
      </c>
      <c r="V89">
        <v>0</v>
      </c>
      <c r="W89">
        <v>358442</v>
      </c>
    </row>
    <row r="90" spans="1:23" ht="12.75">
      <c r="A90" t="s">
        <v>1733</v>
      </c>
      <c r="B90" t="s">
        <v>1731</v>
      </c>
      <c r="C90" t="s">
        <v>1589</v>
      </c>
      <c r="D90" t="s">
        <v>1734</v>
      </c>
      <c r="F90" t="s">
        <v>1592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17334</v>
      </c>
      <c r="O90">
        <v>0</v>
      </c>
      <c r="P90">
        <v>25723</v>
      </c>
      <c r="Q90">
        <v>0</v>
      </c>
      <c r="R90">
        <v>0</v>
      </c>
      <c r="S90">
        <f t="shared" si="1"/>
        <v>25723</v>
      </c>
      <c r="T90">
        <v>0</v>
      </c>
      <c r="U90">
        <v>0</v>
      </c>
      <c r="V90">
        <v>0</v>
      </c>
      <c r="W90">
        <v>43057</v>
      </c>
    </row>
    <row r="91" spans="1:23" ht="12.75">
      <c r="A91" t="s">
        <v>1735</v>
      </c>
      <c r="B91" t="s">
        <v>1736</v>
      </c>
      <c r="C91" t="s">
        <v>1589</v>
      </c>
      <c r="D91" t="s">
        <v>1737</v>
      </c>
      <c r="F91" t="s">
        <v>1592</v>
      </c>
      <c r="G91">
        <v>0</v>
      </c>
      <c r="H91">
        <v>2</v>
      </c>
      <c r="I91">
        <v>0.5</v>
      </c>
      <c r="J91">
        <v>0</v>
      </c>
      <c r="K91">
        <v>158307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f t="shared" si="1"/>
        <v>0</v>
      </c>
      <c r="T91">
        <v>0</v>
      </c>
      <c r="U91">
        <v>0</v>
      </c>
      <c r="V91">
        <v>0</v>
      </c>
      <c r="W91">
        <v>158307</v>
      </c>
    </row>
    <row r="92" spans="1:23" ht="12.75">
      <c r="A92" t="s">
        <v>1738</v>
      </c>
      <c r="B92" t="s">
        <v>1739</v>
      </c>
      <c r="C92" t="s">
        <v>1589</v>
      </c>
      <c r="D92" t="s">
        <v>1740</v>
      </c>
      <c r="F92" t="s">
        <v>1592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5664</v>
      </c>
      <c r="Q92">
        <v>0</v>
      </c>
      <c r="R92">
        <v>0</v>
      </c>
      <c r="S92">
        <f t="shared" si="1"/>
        <v>5664</v>
      </c>
      <c r="T92">
        <v>0</v>
      </c>
      <c r="U92">
        <v>0</v>
      </c>
      <c r="V92">
        <v>0</v>
      </c>
      <c r="W92">
        <v>5664</v>
      </c>
    </row>
    <row r="93" spans="1:23" ht="12.75">
      <c r="A93" t="s">
        <v>1741</v>
      </c>
      <c r="B93" t="s">
        <v>1742</v>
      </c>
      <c r="C93" t="s">
        <v>1589</v>
      </c>
      <c r="D93" t="s">
        <v>1743</v>
      </c>
      <c r="F93" t="s">
        <v>1592</v>
      </c>
      <c r="G93">
        <v>0.833</v>
      </c>
      <c r="H93">
        <v>1.5010000000000001</v>
      </c>
      <c r="I93">
        <v>2.167</v>
      </c>
      <c r="J93">
        <v>0.167</v>
      </c>
      <c r="K93">
        <v>219941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f t="shared" si="1"/>
        <v>0</v>
      </c>
      <c r="T93">
        <v>0</v>
      </c>
      <c r="U93">
        <v>0</v>
      </c>
      <c r="V93">
        <v>0</v>
      </c>
      <c r="W93">
        <v>219941</v>
      </c>
    </row>
    <row r="94" spans="1:23" ht="12.75">
      <c r="A94" t="s">
        <v>1744</v>
      </c>
      <c r="B94" t="s">
        <v>1742</v>
      </c>
      <c r="C94" t="s">
        <v>1589</v>
      </c>
      <c r="D94" t="s">
        <v>1745</v>
      </c>
      <c r="F94" t="s">
        <v>1592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10263</v>
      </c>
      <c r="Q94">
        <v>0</v>
      </c>
      <c r="R94">
        <v>0</v>
      </c>
      <c r="S94">
        <f t="shared" si="1"/>
        <v>10263</v>
      </c>
      <c r="T94">
        <v>0</v>
      </c>
      <c r="U94">
        <v>0</v>
      </c>
      <c r="V94">
        <v>0</v>
      </c>
      <c r="W94">
        <v>10263</v>
      </c>
    </row>
    <row r="95" spans="1:23" ht="12.75">
      <c r="A95" t="s">
        <v>1746</v>
      </c>
      <c r="B95" t="s">
        <v>1747</v>
      </c>
      <c r="C95" t="s">
        <v>1589</v>
      </c>
      <c r="D95" t="s">
        <v>1748</v>
      </c>
      <c r="F95" t="s">
        <v>1592</v>
      </c>
      <c r="G95">
        <v>0.333</v>
      </c>
      <c r="H95">
        <v>7.334</v>
      </c>
      <c r="I95">
        <v>1.388</v>
      </c>
      <c r="J95">
        <v>0.083</v>
      </c>
      <c r="K95">
        <v>444746</v>
      </c>
      <c r="L95">
        <v>0</v>
      </c>
      <c r="M95">
        <v>29573</v>
      </c>
      <c r="N95">
        <v>0</v>
      </c>
      <c r="O95">
        <v>0</v>
      </c>
      <c r="P95">
        <v>0</v>
      </c>
      <c r="Q95">
        <v>0</v>
      </c>
      <c r="R95">
        <v>0</v>
      </c>
      <c r="S95">
        <f t="shared" si="1"/>
        <v>0</v>
      </c>
      <c r="T95">
        <v>0</v>
      </c>
      <c r="U95">
        <v>0</v>
      </c>
      <c r="V95">
        <v>0</v>
      </c>
      <c r="W95">
        <v>474319</v>
      </c>
    </row>
    <row r="96" spans="1:23" ht="12.75">
      <c r="A96" t="s">
        <v>1749</v>
      </c>
      <c r="B96" t="s">
        <v>1747</v>
      </c>
      <c r="C96" t="s">
        <v>1589</v>
      </c>
      <c r="D96" t="s">
        <v>1750</v>
      </c>
      <c r="F96" t="s">
        <v>1592</v>
      </c>
      <c r="G96">
        <v>0</v>
      </c>
      <c r="H96">
        <v>0</v>
      </c>
      <c r="I96">
        <v>0.087</v>
      </c>
      <c r="J96">
        <v>0</v>
      </c>
      <c r="K96">
        <v>2352</v>
      </c>
      <c r="L96">
        <v>0</v>
      </c>
      <c r="M96">
        <v>0</v>
      </c>
      <c r="N96">
        <v>0</v>
      </c>
      <c r="O96">
        <v>0</v>
      </c>
      <c r="P96">
        <v>24952</v>
      </c>
      <c r="Q96">
        <v>0</v>
      </c>
      <c r="R96">
        <v>0</v>
      </c>
      <c r="S96">
        <f t="shared" si="1"/>
        <v>24952</v>
      </c>
      <c r="T96">
        <v>0</v>
      </c>
      <c r="U96">
        <v>0</v>
      </c>
      <c r="V96">
        <v>0</v>
      </c>
      <c r="W96">
        <v>27304</v>
      </c>
    </row>
    <row r="97" spans="1:23" ht="12.75">
      <c r="A97" t="s">
        <v>1752</v>
      </c>
      <c r="B97" t="s">
        <v>1753</v>
      </c>
      <c r="C97" t="s">
        <v>1589</v>
      </c>
      <c r="D97" t="s">
        <v>1754</v>
      </c>
      <c r="F97" t="s">
        <v>1592</v>
      </c>
      <c r="G97">
        <v>0</v>
      </c>
      <c r="H97">
        <v>4.086</v>
      </c>
      <c r="I97">
        <v>14.19</v>
      </c>
      <c r="J97">
        <v>24.918</v>
      </c>
      <c r="K97">
        <v>925396</v>
      </c>
      <c r="L97">
        <v>0</v>
      </c>
      <c r="M97">
        <v>79508</v>
      </c>
      <c r="N97">
        <v>0</v>
      </c>
      <c r="O97">
        <v>0</v>
      </c>
      <c r="P97">
        <v>75445</v>
      </c>
      <c r="Q97">
        <v>0</v>
      </c>
      <c r="R97">
        <v>0</v>
      </c>
      <c r="S97">
        <f t="shared" si="1"/>
        <v>75445</v>
      </c>
      <c r="T97">
        <v>0</v>
      </c>
      <c r="U97">
        <v>0</v>
      </c>
      <c r="V97">
        <v>0</v>
      </c>
      <c r="W97">
        <v>1080349</v>
      </c>
    </row>
    <row r="98" spans="1:23" ht="12.75">
      <c r="A98" t="s">
        <v>1755</v>
      </c>
      <c r="B98" t="s">
        <v>1756</v>
      </c>
      <c r="C98" t="s">
        <v>1589</v>
      </c>
      <c r="D98" t="s">
        <v>1757</v>
      </c>
      <c r="F98" t="s">
        <v>1592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1759643</v>
      </c>
      <c r="O98">
        <v>0</v>
      </c>
      <c r="P98">
        <v>0</v>
      </c>
      <c r="Q98">
        <v>0</v>
      </c>
      <c r="R98">
        <v>0</v>
      </c>
      <c r="S98">
        <f t="shared" si="1"/>
        <v>0</v>
      </c>
      <c r="T98">
        <v>0</v>
      </c>
      <c r="U98">
        <v>0</v>
      </c>
      <c r="V98">
        <v>0</v>
      </c>
      <c r="W98">
        <v>1759643</v>
      </c>
    </row>
    <row r="99" spans="1:23" ht="12.75">
      <c r="A99" t="s">
        <v>1758</v>
      </c>
      <c r="B99" t="s">
        <v>1759</v>
      </c>
      <c r="C99" t="s">
        <v>1589</v>
      </c>
      <c r="D99" t="s">
        <v>1760</v>
      </c>
      <c r="F99" t="s">
        <v>1592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427708</v>
      </c>
      <c r="N99">
        <v>0</v>
      </c>
      <c r="O99">
        <v>0</v>
      </c>
      <c r="P99">
        <v>0</v>
      </c>
      <c r="Q99">
        <v>0</v>
      </c>
      <c r="R99">
        <v>0</v>
      </c>
      <c r="S99">
        <f t="shared" si="1"/>
        <v>0</v>
      </c>
      <c r="T99">
        <v>0</v>
      </c>
      <c r="U99">
        <v>0</v>
      </c>
      <c r="V99">
        <v>0</v>
      </c>
      <c r="W99">
        <v>427708</v>
      </c>
    </row>
    <row r="100" spans="1:23" ht="12.75">
      <c r="A100" t="s">
        <v>1761</v>
      </c>
      <c r="B100" t="s">
        <v>1762</v>
      </c>
      <c r="C100" t="s">
        <v>1589</v>
      </c>
      <c r="D100" t="s">
        <v>1763</v>
      </c>
      <c r="F100" t="s">
        <v>1592</v>
      </c>
      <c r="G100">
        <v>0</v>
      </c>
      <c r="H100">
        <v>9</v>
      </c>
      <c r="I100">
        <v>1</v>
      </c>
      <c r="J100">
        <v>0</v>
      </c>
      <c r="K100">
        <v>414372</v>
      </c>
      <c r="L100">
        <v>0</v>
      </c>
      <c r="M100">
        <v>0</v>
      </c>
      <c r="N100">
        <v>0</v>
      </c>
      <c r="O100">
        <v>0</v>
      </c>
      <c r="P100">
        <v>23000</v>
      </c>
      <c r="Q100">
        <v>0</v>
      </c>
      <c r="R100">
        <v>0</v>
      </c>
      <c r="S100">
        <f t="shared" si="1"/>
        <v>23000</v>
      </c>
      <c r="T100">
        <v>0</v>
      </c>
      <c r="U100">
        <v>0</v>
      </c>
      <c r="V100">
        <v>0</v>
      </c>
      <c r="W100">
        <v>437372</v>
      </c>
    </row>
    <row r="101" spans="1:23" ht="12.75">
      <c r="A101" t="s">
        <v>1764</v>
      </c>
      <c r="B101" t="s">
        <v>1765</v>
      </c>
      <c r="C101" t="s">
        <v>1589</v>
      </c>
      <c r="D101" t="s">
        <v>1766</v>
      </c>
      <c r="F101" t="s">
        <v>1592</v>
      </c>
      <c r="G101">
        <v>0</v>
      </c>
      <c r="H101">
        <v>2</v>
      </c>
      <c r="I101">
        <v>0</v>
      </c>
      <c r="J101">
        <v>0</v>
      </c>
      <c r="K101">
        <v>90876</v>
      </c>
      <c r="L101">
        <v>0</v>
      </c>
      <c r="M101">
        <v>0</v>
      </c>
      <c r="N101">
        <v>0</v>
      </c>
      <c r="O101">
        <v>0</v>
      </c>
      <c r="P101">
        <v>4500</v>
      </c>
      <c r="Q101">
        <v>0</v>
      </c>
      <c r="R101">
        <v>0</v>
      </c>
      <c r="S101">
        <f t="shared" si="1"/>
        <v>4500</v>
      </c>
      <c r="T101">
        <v>0</v>
      </c>
      <c r="U101">
        <v>0</v>
      </c>
      <c r="V101">
        <v>0</v>
      </c>
      <c r="W101">
        <v>95376</v>
      </c>
    </row>
    <row r="102" spans="1:23" ht="12.75">
      <c r="A102" t="s">
        <v>1767</v>
      </c>
      <c r="B102" t="s">
        <v>1768</v>
      </c>
      <c r="C102" t="s">
        <v>1589</v>
      </c>
      <c r="D102" t="s">
        <v>1769</v>
      </c>
      <c r="F102" t="s">
        <v>1592</v>
      </c>
      <c r="G102">
        <v>0</v>
      </c>
      <c r="H102">
        <v>8</v>
      </c>
      <c r="I102">
        <v>2</v>
      </c>
      <c r="J102">
        <v>0</v>
      </c>
      <c r="K102">
        <v>415716</v>
      </c>
      <c r="L102">
        <v>0</v>
      </c>
      <c r="M102">
        <v>0</v>
      </c>
      <c r="N102">
        <v>0</v>
      </c>
      <c r="O102">
        <v>0</v>
      </c>
      <c r="P102">
        <v>36208</v>
      </c>
      <c r="Q102">
        <v>0</v>
      </c>
      <c r="R102">
        <v>0</v>
      </c>
      <c r="S102">
        <f t="shared" si="1"/>
        <v>36208</v>
      </c>
      <c r="T102">
        <v>0</v>
      </c>
      <c r="U102">
        <v>0</v>
      </c>
      <c r="V102">
        <v>0</v>
      </c>
      <c r="W102">
        <v>451924</v>
      </c>
    </row>
    <row r="103" spans="1:23" ht="12.75">
      <c r="A103" t="s">
        <v>1770</v>
      </c>
      <c r="B103" t="s">
        <v>1771</v>
      </c>
      <c r="C103" t="s">
        <v>1589</v>
      </c>
      <c r="D103" t="s">
        <v>1772</v>
      </c>
      <c r="F103" t="s">
        <v>1592</v>
      </c>
      <c r="G103">
        <v>0</v>
      </c>
      <c r="H103">
        <v>10</v>
      </c>
      <c r="I103">
        <v>1</v>
      </c>
      <c r="J103">
        <v>1</v>
      </c>
      <c r="K103">
        <v>536762</v>
      </c>
      <c r="L103">
        <v>0</v>
      </c>
      <c r="M103">
        <v>0</v>
      </c>
      <c r="N103">
        <v>0</v>
      </c>
      <c r="O103">
        <v>0</v>
      </c>
      <c r="P103">
        <v>51500</v>
      </c>
      <c r="Q103">
        <v>0</v>
      </c>
      <c r="R103">
        <v>0</v>
      </c>
      <c r="S103">
        <f t="shared" si="1"/>
        <v>51500</v>
      </c>
      <c r="T103">
        <v>0</v>
      </c>
      <c r="U103">
        <v>0</v>
      </c>
      <c r="V103">
        <v>0</v>
      </c>
      <c r="W103">
        <v>588262</v>
      </c>
    </row>
    <row r="104" spans="1:23" ht="12.75">
      <c r="A104" t="s">
        <v>1773</v>
      </c>
      <c r="B104" t="s">
        <v>1774</v>
      </c>
      <c r="C104" t="s">
        <v>1589</v>
      </c>
      <c r="D104" t="s">
        <v>1775</v>
      </c>
      <c r="F104" t="s">
        <v>1592</v>
      </c>
      <c r="G104">
        <v>0</v>
      </c>
      <c r="H104">
        <v>14</v>
      </c>
      <c r="I104">
        <v>4</v>
      </c>
      <c r="J104">
        <v>3</v>
      </c>
      <c r="K104">
        <v>1006172</v>
      </c>
      <c r="L104">
        <v>0</v>
      </c>
      <c r="M104">
        <v>0</v>
      </c>
      <c r="N104">
        <v>0</v>
      </c>
      <c r="O104">
        <v>0</v>
      </c>
      <c r="P104">
        <v>114687</v>
      </c>
      <c r="Q104">
        <v>0</v>
      </c>
      <c r="R104">
        <v>0</v>
      </c>
      <c r="S104">
        <f t="shared" si="1"/>
        <v>114687</v>
      </c>
      <c r="T104">
        <v>0</v>
      </c>
      <c r="U104">
        <v>0</v>
      </c>
      <c r="V104">
        <v>0</v>
      </c>
      <c r="W104">
        <v>1120859</v>
      </c>
    </row>
    <row r="105" spans="1:23" ht="12.75">
      <c r="A105" t="s">
        <v>1776</v>
      </c>
      <c r="B105" t="s">
        <v>1777</v>
      </c>
      <c r="C105" t="s">
        <v>1589</v>
      </c>
      <c r="D105" t="s">
        <v>1778</v>
      </c>
      <c r="F105" t="s">
        <v>1592</v>
      </c>
      <c r="G105">
        <v>0</v>
      </c>
      <c r="H105">
        <v>1</v>
      </c>
      <c r="I105">
        <v>0</v>
      </c>
      <c r="J105">
        <v>0</v>
      </c>
      <c r="K105">
        <v>71880</v>
      </c>
      <c r="L105">
        <v>0</v>
      </c>
      <c r="M105">
        <v>0</v>
      </c>
      <c r="N105">
        <v>0</v>
      </c>
      <c r="O105">
        <v>0</v>
      </c>
      <c r="P105">
        <v>8000</v>
      </c>
      <c r="Q105">
        <v>0</v>
      </c>
      <c r="R105">
        <v>0</v>
      </c>
      <c r="S105">
        <f t="shared" si="1"/>
        <v>8000</v>
      </c>
      <c r="T105">
        <v>0</v>
      </c>
      <c r="U105">
        <v>0</v>
      </c>
      <c r="V105">
        <v>0</v>
      </c>
      <c r="W105">
        <v>79880</v>
      </c>
    </row>
    <row r="106" spans="1:23" ht="12.75">
      <c r="A106" t="s">
        <v>1779</v>
      </c>
      <c r="B106" t="s">
        <v>1780</v>
      </c>
      <c r="C106" t="s">
        <v>1589</v>
      </c>
      <c r="D106" t="s">
        <v>1781</v>
      </c>
      <c r="F106" t="s">
        <v>1592</v>
      </c>
      <c r="G106">
        <v>1</v>
      </c>
      <c r="H106">
        <v>12</v>
      </c>
      <c r="I106">
        <v>1</v>
      </c>
      <c r="J106">
        <v>2</v>
      </c>
      <c r="K106">
        <v>824996</v>
      </c>
      <c r="L106">
        <v>0</v>
      </c>
      <c r="M106">
        <v>0</v>
      </c>
      <c r="N106">
        <v>0</v>
      </c>
      <c r="O106">
        <v>0</v>
      </c>
      <c r="P106">
        <v>56306</v>
      </c>
      <c r="Q106">
        <v>0</v>
      </c>
      <c r="R106">
        <v>0</v>
      </c>
      <c r="S106">
        <f t="shared" si="1"/>
        <v>56306</v>
      </c>
      <c r="T106">
        <v>0</v>
      </c>
      <c r="U106">
        <v>0</v>
      </c>
      <c r="V106">
        <v>0</v>
      </c>
      <c r="W106">
        <v>881302</v>
      </c>
    </row>
    <row r="107" spans="1:23" ht="12.75">
      <c r="A107" t="s">
        <v>1782</v>
      </c>
      <c r="B107" t="s">
        <v>1783</v>
      </c>
      <c r="C107" t="s">
        <v>1589</v>
      </c>
      <c r="D107" t="s">
        <v>1784</v>
      </c>
      <c r="F107" t="s">
        <v>1592</v>
      </c>
      <c r="G107">
        <v>0</v>
      </c>
      <c r="H107">
        <v>9</v>
      </c>
      <c r="I107">
        <v>1</v>
      </c>
      <c r="J107">
        <v>1</v>
      </c>
      <c r="K107">
        <v>514332</v>
      </c>
      <c r="L107">
        <v>0</v>
      </c>
      <c r="M107">
        <v>0</v>
      </c>
      <c r="N107">
        <v>0</v>
      </c>
      <c r="O107">
        <v>0</v>
      </c>
      <c r="P107">
        <v>29035</v>
      </c>
      <c r="Q107">
        <v>0</v>
      </c>
      <c r="R107">
        <v>0</v>
      </c>
      <c r="S107">
        <f t="shared" si="1"/>
        <v>29035</v>
      </c>
      <c r="T107">
        <v>0</v>
      </c>
      <c r="U107">
        <v>0</v>
      </c>
      <c r="V107">
        <v>0</v>
      </c>
      <c r="W107">
        <v>543367</v>
      </c>
    </row>
    <row r="108" spans="1:23" ht="12.75">
      <c r="A108" t="s">
        <v>1785</v>
      </c>
      <c r="B108" t="s">
        <v>1786</v>
      </c>
      <c r="C108" t="s">
        <v>1589</v>
      </c>
      <c r="D108" t="s">
        <v>1787</v>
      </c>
      <c r="F108" t="s">
        <v>1592</v>
      </c>
      <c r="G108">
        <v>1</v>
      </c>
      <c r="H108">
        <v>21</v>
      </c>
      <c r="I108">
        <v>3</v>
      </c>
      <c r="J108">
        <v>4</v>
      </c>
      <c r="K108">
        <v>1216860</v>
      </c>
      <c r="L108">
        <v>0</v>
      </c>
      <c r="M108">
        <v>0</v>
      </c>
      <c r="N108">
        <v>0</v>
      </c>
      <c r="O108">
        <v>0</v>
      </c>
      <c r="P108">
        <v>53900</v>
      </c>
      <c r="Q108">
        <v>0</v>
      </c>
      <c r="R108">
        <v>0</v>
      </c>
      <c r="S108">
        <f t="shared" si="1"/>
        <v>53900</v>
      </c>
      <c r="T108">
        <v>0</v>
      </c>
      <c r="U108">
        <v>0</v>
      </c>
      <c r="V108">
        <v>0</v>
      </c>
      <c r="W108">
        <v>1270760</v>
      </c>
    </row>
    <row r="109" spans="1:23" ht="12.75">
      <c r="A109" t="s">
        <v>1788</v>
      </c>
      <c r="B109" t="s">
        <v>1789</v>
      </c>
      <c r="C109" t="s">
        <v>1589</v>
      </c>
      <c r="D109" t="s">
        <v>1790</v>
      </c>
      <c r="F109" t="s">
        <v>1592</v>
      </c>
      <c r="G109">
        <v>0</v>
      </c>
      <c r="H109">
        <v>1</v>
      </c>
      <c r="I109">
        <v>0</v>
      </c>
      <c r="J109">
        <v>0</v>
      </c>
      <c r="K109">
        <v>54012</v>
      </c>
      <c r="L109">
        <v>0</v>
      </c>
      <c r="M109">
        <v>0</v>
      </c>
      <c r="N109">
        <v>0</v>
      </c>
      <c r="O109">
        <v>0</v>
      </c>
      <c r="P109">
        <v>5170</v>
      </c>
      <c r="Q109">
        <v>0</v>
      </c>
      <c r="R109">
        <v>0</v>
      </c>
      <c r="S109">
        <f t="shared" si="1"/>
        <v>5170</v>
      </c>
      <c r="T109">
        <v>0</v>
      </c>
      <c r="U109">
        <v>0</v>
      </c>
      <c r="V109">
        <v>0</v>
      </c>
      <c r="W109">
        <v>59182</v>
      </c>
    </row>
    <row r="110" spans="1:23" ht="12.75">
      <c r="A110" t="s">
        <v>1791</v>
      </c>
      <c r="B110" t="s">
        <v>1792</v>
      </c>
      <c r="C110" t="s">
        <v>1589</v>
      </c>
      <c r="D110" t="s">
        <v>1793</v>
      </c>
      <c r="F110" t="s">
        <v>1592</v>
      </c>
      <c r="G110">
        <v>0</v>
      </c>
      <c r="H110">
        <v>1</v>
      </c>
      <c r="I110">
        <v>0</v>
      </c>
      <c r="J110">
        <v>0</v>
      </c>
      <c r="K110">
        <v>36684</v>
      </c>
      <c r="L110">
        <v>0</v>
      </c>
      <c r="M110">
        <v>0</v>
      </c>
      <c r="N110">
        <v>0</v>
      </c>
      <c r="O110">
        <v>0</v>
      </c>
      <c r="P110">
        <v>20275</v>
      </c>
      <c r="Q110">
        <v>0</v>
      </c>
      <c r="R110">
        <v>0</v>
      </c>
      <c r="S110">
        <f t="shared" si="1"/>
        <v>20275</v>
      </c>
      <c r="T110">
        <v>0</v>
      </c>
      <c r="U110">
        <v>0</v>
      </c>
      <c r="V110">
        <v>0</v>
      </c>
      <c r="W110">
        <v>56959</v>
      </c>
    </row>
    <row r="111" spans="1:23" ht="12.75">
      <c r="A111" t="s">
        <v>1794</v>
      </c>
      <c r="B111" t="s">
        <v>1795</v>
      </c>
      <c r="C111" t="s">
        <v>1589</v>
      </c>
      <c r="D111" t="s">
        <v>1796</v>
      </c>
      <c r="F111" t="s">
        <v>1592</v>
      </c>
      <c r="G111">
        <v>1</v>
      </c>
      <c r="H111">
        <v>10</v>
      </c>
      <c r="I111">
        <v>1</v>
      </c>
      <c r="J111">
        <v>0</v>
      </c>
      <c r="K111">
        <v>547288</v>
      </c>
      <c r="L111">
        <v>0</v>
      </c>
      <c r="M111">
        <v>0</v>
      </c>
      <c r="N111">
        <v>0</v>
      </c>
      <c r="O111">
        <v>0</v>
      </c>
      <c r="P111">
        <v>27000</v>
      </c>
      <c r="Q111">
        <v>0</v>
      </c>
      <c r="R111">
        <v>0</v>
      </c>
      <c r="S111">
        <f t="shared" si="1"/>
        <v>27000</v>
      </c>
      <c r="T111">
        <v>0</v>
      </c>
      <c r="U111">
        <v>0</v>
      </c>
      <c r="V111">
        <v>0</v>
      </c>
      <c r="W111">
        <v>574288</v>
      </c>
    </row>
    <row r="112" spans="1:23" ht="12.75">
      <c r="A112" t="s">
        <v>1797</v>
      </c>
      <c r="B112" t="s">
        <v>1798</v>
      </c>
      <c r="C112" t="s">
        <v>1589</v>
      </c>
      <c r="D112" t="s">
        <v>1799</v>
      </c>
      <c r="F112" t="s">
        <v>1592</v>
      </c>
      <c r="G112">
        <v>0</v>
      </c>
      <c r="H112">
        <v>19</v>
      </c>
      <c r="I112">
        <v>5.485</v>
      </c>
      <c r="J112">
        <v>2</v>
      </c>
      <c r="K112">
        <v>1378452</v>
      </c>
      <c r="L112">
        <v>0</v>
      </c>
      <c r="M112">
        <v>0</v>
      </c>
      <c r="N112">
        <v>0</v>
      </c>
      <c r="O112">
        <v>0</v>
      </c>
      <c r="P112">
        <v>90000</v>
      </c>
      <c r="Q112">
        <v>0</v>
      </c>
      <c r="R112">
        <v>0</v>
      </c>
      <c r="S112">
        <f t="shared" si="1"/>
        <v>90000</v>
      </c>
      <c r="T112">
        <v>0</v>
      </c>
      <c r="U112">
        <v>0</v>
      </c>
      <c r="V112">
        <v>0</v>
      </c>
      <c r="W112">
        <v>1468452</v>
      </c>
    </row>
    <row r="113" spans="1:23" ht="12.75">
      <c r="A113" t="s">
        <v>1800</v>
      </c>
      <c r="B113" t="s">
        <v>1801</v>
      </c>
      <c r="C113" t="s">
        <v>1589</v>
      </c>
      <c r="D113" t="s">
        <v>1802</v>
      </c>
      <c r="F113" t="s">
        <v>1592</v>
      </c>
      <c r="G113">
        <v>0</v>
      </c>
      <c r="H113">
        <v>11</v>
      </c>
      <c r="I113">
        <v>1</v>
      </c>
      <c r="J113">
        <v>0</v>
      </c>
      <c r="K113">
        <v>471328</v>
      </c>
      <c r="L113">
        <v>0</v>
      </c>
      <c r="M113">
        <v>0</v>
      </c>
      <c r="N113">
        <v>0</v>
      </c>
      <c r="O113">
        <v>0</v>
      </c>
      <c r="P113">
        <v>24500</v>
      </c>
      <c r="Q113">
        <v>0</v>
      </c>
      <c r="R113">
        <v>0</v>
      </c>
      <c r="S113">
        <f t="shared" si="1"/>
        <v>24500</v>
      </c>
      <c r="T113">
        <v>0</v>
      </c>
      <c r="U113">
        <v>0</v>
      </c>
      <c r="V113">
        <v>0</v>
      </c>
      <c r="W113">
        <v>495828</v>
      </c>
    </row>
    <row r="114" spans="1:23" ht="12.75">
      <c r="A114" t="s">
        <v>1803</v>
      </c>
      <c r="B114" t="s">
        <v>1804</v>
      </c>
      <c r="C114" t="s">
        <v>1589</v>
      </c>
      <c r="D114" t="s">
        <v>1805</v>
      </c>
      <c r="F114" t="s">
        <v>1592</v>
      </c>
      <c r="G114">
        <v>0</v>
      </c>
      <c r="H114">
        <v>25</v>
      </c>
      <c r="I114">
        <v>2</v>
      </c>
      <c r="J114">
        <v>3</v>
      </c>
      <c r="K114">
        <v>1260568</v>
      </c>
      <c r="L114">
        <v>0</v>
      </c>
      <c r="M114">
        <v>0</v>
      </c>
      <c r="N114">
        <v>0</v>
      </c>
      <c r="O114">
        <v>0</v>
      </c>
      <c r="P114">
        <v>63000</v>
      </c>
      <c r="Q114">
        <v>0</v>
      </c>
      <c r="R114">
        <v>0</v>
      </c>
      <c r="S114">
        <f t="shared" si="1"/>
        <v>63000</v>
      </c>
      <c r="T114">
        <v>0</v>
      </c>
      <c r="U114">
        <v>0</v>
      </c>
      <c r="V114">
        <v>0</v>
      </c>
      <c r="W114">
        <v>1323568</v>
      </c>
    </row>
    <row r="115" spans="1:23" ht="12.75">
      <c r="A115" t="s">
        <v>1806</v>
      </c>
      <c r="B115" t="s">
        <v>1807</v>
      </c>
      <c r="C115" t="s">
        <v>1589</v>
      </c>
      <c r="D115" t="s">
        <v>1808</v>
      </c>
      <c r="F115" t="s">
        <v>1592</v>
      </c>
      <c r="G115">
        <v>0</v>
      </c>
      <c r="H115">
        <v>15</v>
      </c>
      <c r="I115">
        <v>1</v>
      </c>
      <c r="J115">
        <v>1</v>
      </c>
      <c r="K115">
        <v>745392</v>
      </c>
      <c r="L115">
        <v>0</v>
      </c>
      <c r="M115">
        <v>0</v>
      </c>
      <c r="N115">
        <v>0</v>
      </c>
      <c r="O115">
        <v>0</v>
      </c>
      <c r="P115">
        <v>38686</v>
      </c>
      <c r="Q115">
        <v>0</v>
      </c>
      <c r="R115">
        <v>0</v>
      </c>
      <c r="S115">
        <f t="shared" si="1"/>
        <v>38686</v>
      </c>
      <c r="T115">
        <v>0</v>
      </c>
      <c r="U115">
        <v>0</v>
      </c>
      <c r="V115">
        <v>0</v>
      </c>
      <c r="W115">
        <v>784078</v>
      </c>
    </row>
    <row r="116" spans="1:23" ht="12.75">
      <c r="A116" t="s">
        <v>1809</v>
      </c>
      <c r="B116" t="s">
        <v>1810</v>
      </c>
      <c r="C116" t="s">
        <v>1589</v>
      </c>
      <c r="D116" t="s">
        <v>1811</v>
      </c>
      <c r="F116" t="s">
        <v>1592</v>
      </c>
      <c r="G116">
        <v>0</v>
      </c>
      <c r="H116">
        <v>16</v>
      </c>
      <c r="I116">
        <v>2</v>
      </c>
      <c r="J116">
        <v>1</v>
      </c>
      <c r="K116">
        <v>767148</v>
      </c>
      <c r="L116">
        <v>0</v>
      </c>
      <c r="M116">
        <v>0</v>
      </c>
      <c r="N116">
        <v>0</v>
      </c>
      <c r="O116">
        <v>0</v>
      </c>
      <c r="P116">
        <v>71300</v>
      </c>
      <c r="Q116">
        <v>0</v>
      </c>
      <c r="R116">
        <v>0</v>
      </c>
      <c r="S116">
        <f t="shared" si="1"/>
        <v>71300</v>
      </c>
      <c r="T116">
        <v>0</v>
      </c>
      <c r="U116">
        <v>0</v>
      </c>
      <c r="V116">
        <v>0</v>
      </c>
      <c r="W116">
        <v>838448</v>
      </c>
    </row>
    <row r="117" spans="1:23" ht="12.75">
      <c r="A117" t="s">
        <v>1812</v>
      </c>
      <c r="B117" t="s">
        <v>1813</v>
      </c>
      <c r="C117" t="s">
        <v>1589</v>
      </c>
      <c r="D117" t="s">
        <v>1814</v>
      </c>
      <c r="F117" t="s">
        <v>1592</v>
      </c>
      <c r="G117">
        <v>0</v>
      </c>
      <c r="H117">
        <v>6</v>
      </c>
      <c r="I117">
        <v>1</v>
      </c>
      <c r="J117">
        <v>0</v>
      </c>
      <c r="K117">
        <v>294458</v>
      </c>
      <c r="L117">
        <v>0</v>
      </c>
      <c r="M117">
        <v>0</v>
      </c>
      <c r="N117">
        <v>0</v>
      </c>
      <c r="O117">
        <v>0</v>
      </c>
      <c r="P117">
        <v>11420</v>
      </c>
      <c r="Q117">
        <v>0</v>
      </c>
      <c r="R117">
        <v>0</v>
      </c>
      <c r="S117">
        <f t="shared" si="1"/>
        <v>11420</v>
      </c>
      <c r="T117">
        <v>0</v>
      </c>
      <c r="U117">
        <v>0</v>
      </c>
      <c r="V117">
        <v>0</v>
      </c>
      <c r="W117">
        <v>305878</v>
      </c>
    </row>
    <row r="118" spans="1:23" ht="12.75">
      <c r="A118" t="s">
        <v>1815</v>
      </c>
      <c r="B118" t="s">
        <v>1816</v>
      </c>
      <c r="C118" t="s">
        <v>1589</v>
      </c>
      <c r="D118" t="s">
        <v>1817</v>
      </c>
      <c r="F118" t="s">
        <v>1592</v>
      </c>
      <c r="G118">
        <v>0</v>
      </c>
      <c r="H118">
        <v>17</v>
      </c>
      <c r="I118">
        <v>4</v>
      </c>
      <c r="J118">
        <v>0</v>
      </c>
      <c r="K118">
        <v>893544</v>
      </c>
      <c r="L118">
        <v>0</v>
      </c>
      <c r="M118">
        <v>0</v>
      </c>
      <c r="N118">
        <v>0</v>
      </c>
      <c r="O118">
        <v>0</v>
      </c>
      <c r="P118">
        <v>96852</v>
      </c>
      <c r="Q118">
        <v>0</v>
      </c>
      <c r="R118">
        <v>0</v>
      </c>
      <c r="S118">
        <f t="shared" si="1"/>
        <v>96852</v>
      </c>
      <c r="T118">
        <v>0</v>
      </c>
      <c r="U118">
        <v>0</v>
      </c>
      <c r="V118">
        <v>0</v>
      </c>
      <c r="W118">
        <v>990396</v>
      </c>
    </row>
    <row r="119" spans="1:23" ht="12.75">
      <c r="A119" t="s">
        <v>1818</v>
      </c>
      <c r="B119" t="s">
        <v>1819</v>
      </c>
      <c r="C119" t="s">
        <v>1589</v>
      </c>
      <c r="D119" t="s">
        <v>1820</v>
      </c>
      <c r="F119" t="s">
        <v>1592</v>
      </c>
      <c r="G119">
        <v>0</v>
      </c>
      <c r="H119">
        <v>9</v>
      </c>
      <c r="I119">
        <v>1</v>
      </c>
      <c r="J119">
        <v>0</v>
      </c>
      <c r="K119">
        <v>461100</v>
      </c>
      <c r="L119">
        <v>0</v>
      </c>
      <c r="M119">
        <v>0</v>
      </c>
      <c r="N119">
        <v>0</v>
      </c>
      <c r="O119">
        <v>0</v>
      </c>
      <c r="P119">
        <v>24500</v>
      </c>
      <c r="Q119">
        <v>0</v>
      </c>
      <c r="R119">
        <v>0</v>
      </c>
      <c r="S119">
        <f t="shared" si="1"/>
        <v>24500</v>
      </c>
      <c r="T119">
        <v>0</v>
      </c>
      <c r="U119">
        <v>0</v>
      </c>
      <c r="V119">
        <v>0</v>
      </c>
      <c r="W119">
        <v>485600</v>
      </c>
    </row>
    <row r="120" spans="1:23" ht="12.75">
      <c r="A120" t="s">
        <v>1821</v>
      </c>
      <c r="B120" t="s">
        <v>1822</v>
      </c>
      <c r="C120" t="s">
        <v>1589</v>
      </c>
      <c r="D120" t="s">
        <v>1823</v>
      </c>
      <c r="F120" t="s">
        <v>1592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8700</v>
      </c>
      <c r="Q120">
        <v>0</v>
      </c>
      <c r="R120">
        <v>0</v>
      </c>
      <c r="S120">
        <f t="shared" si="1"/>
        <v>8700</v>
      </c>
      <c r="T120">
        <v>0</v>
      </c>
      <c r="U120">
        <v>0</v>
      </c>
      <c r="V120">
        <v>0</v>
      </c>
      <c r="W120">
        <v>8700</v>
      </c>
    </row>
    <row r="121" spans="1:23" ht="12.75">
      <c r="A121" t="s">
        <v>1824</v>
      </c>
      <c r="B121" t="s">
        <v>1825</v>
      </c>
      <c r="C121" t="s">
        <v>1589</v>
      </c>
      <c r="D121" t="s">
        <v>1826</v>
      </c>
      <c r="F121" t="s">
        <v>1592</v>
      </c>
      <c r="G121">
        <v>0</v>
      </c>
      <c r="H121">
        <v>15</v>
      </c>
      <c r="I121">
        <v>3</v>
      </c>
      <c r="J121">
        <v>0</v>
      </c>
      <c r="K121">
        <v>815292</v>
      </c>
      <c r="L121">
        <v>0</v>
      </c>
      <c r="M121">
        <v>0</v>
      </c>
      <c r="N121">
        <v>0</v>
      </c>
      <c r="O121">
        <v>0</v>
      </c>
      <c r="P121">
        <v>53185</v>
      </c>
      <c r="Q121">
        <v>0</v>
      </c>
      <c r="R121">
        <v>0</v>
      </c>
      <c r="S121">
        <f t="shared" si="1"/>
        <v>53185</v>
      </c>
      <c r="T121">
        <v>0</v>
      </c>
      <c r="U121">
        <v>0</v>
      </c>
      <c r="V121">
        <v>0</v>
      </c>
      <c r="W121">
        <v>868477</v>
      </c>
    </row>
    <row r="122" spans="1:23" ht="12.75">
      <c r="A122" t="s">
        <v>1827</v>
      </c>
      <c r="B122" t="s">
        <v>1828</v>
      </c>
      <c r="C122" t="s">
        <v>1589</v>
      </c>
      <c r="D122" t="s">
        <v>1829</v>
      </c>
      <c r="F122" t="s">
        <v>1592</v>
      </c>
      <c r="G122">
        <v>0</v>
      </c>
      <c r="H122">
        <v>11.499</v>
      </c>
      <c r="I122">
        <v>1</v>
      </c>
      <c r="J122">
        <v>0</v>
      </c>
      <c r="K122">
        <v>649704</v>
      </c>
      <c r="L122">
        <v>0</v>
      </c>
      <c r="M122">
        <v>0</v>
      </c>
      <c r="N122">
        <v>0</v>
      </c>
      <c r="O122">
        <v>0</v>
      </c>
      <c r="P122">
        <v>24500</v>
      </c>
      <c r="Q122">
        <v>0</v>
      </c>
      <c r="R122">
        <v>0</v>
      </c>
      <c r="S122">
        <f t="shared" si="1"/>
        <v>24500</v>
      </c>
      <c r="T122">
        <v>0</v>
      </c>
      <c r="U122">
        <v>0</v>
      </c>
      <c r="V122">
        <v>0</v>
      </c>
      <c r="W122">
        <v>674204</v>
      </c>
    </row>
    <row r="123" spans="1:23" ht="12.75">
      <c r="A123" t="s">
        <v>1830</v>
      </c>
      <c r="B123" t="s">
        <v>1831</v>
      </c>
      <c r="C123" t="s">
        <v>1589</v>
      </c>
      <c r="D123" t="s">
        <v>1832</v>
      </c>
      <c r="F123" t="s">
        <v>1592</v>
      </c>
      <c r="G123">
        <v>0</v>
      </c>
      <c r="H123">
        <v>7.025</v>
      </c>
      <c r="I123">
        <v>1</v>
      </c>
      <c r="J123">
        <v>0</v>
      </c>
      <c r="K123">
        <v>424104</v>
      </c>
      <c r="L123">
        <v>0</v>
      </c>
      <c r="M123">
        <v>0</v>
      </c>
      <c r="N123">
        <v>0</v>
      </c>
      <c r="O123">
        <v>0</v>
      </c>
      <c r="P123">
        <v>18000</v>
      </c>
      <c r="Q123">
        <v>0</v>
      </c>
      <c r="R123">
        <v>0</v>
      </c>
      <c r="S123">
        <f t="shared" si="1"/>
        <v>18000</v>
      </c>
      <c r="T123">
        <v>0</v>
      </c>
      <c r="U123">
        <v>0</v>
      </c>
      <c r="V123">
        <v>0</v>
      </c>
      <c r="W123">
        <v>442104</v>
      </c>
    </row>
    <row r="124" spans="1:23" ht="12.75">
      <c r="A124" t="s">
        <v>1833</v>
      </c>
      <c r="B124" t="s">
        <v>1834</v>
      </c>
      <c r="C124" t="s">
        <v>1589</v>
      </c>
      <c r="D124" t="s">
        <v>1835</v>
      </c>
      <c r="F124" t="s">
        <v>1592</v>
      </c>
      <c r="G124">
        <v>0</v>
      </c>
      <c r="H124">
        <v>9</v>
      </c>
      <c r="I124">
        <v>2</v>
      </c>
      <c r="J124">
        <v>1</v>
      </c>
      <c r="K124">
        <v>485676</v>
      </c>
      <c r="L124">
        <v>0</v>
      </c>
      <c r="M124">
        <v>0</v>
      </c>
      <c r="N124">
        <v>0</v>
      </c>
      <c r="O124">
        <v>0</v>
      </c>
      <c r="P124">
        <v>40942</v>
      </c>
      <c r="Q124">
        <v>0</v>
      </c>
      <c r="R124">
        <v>0</v>
      </c>
      <c r="S124">
        <f t="shared" si="1"/>
        <v>40942</v>
      </c>
      <c r="T124">
        <v>0</v>
      </c>
      <c r="U124">
        <v>0</v>
      </c>
      <c r="V124">
        <v>0</v>
      </c>
      <c r="W124">
        <v>526618</v>
      </c>
    </row>
    <row r="125" spans="1:23" ht="12.75">
      <c r="A125" t="s">
        <v>1836</v>
      </c>
      <c r="B125" t="s">
        <v>1837</v>
      </c>
      <c r="C125" t="s">
        <v>1589</v>
      </c>
      <c r="D125" t="s">
        <v>1838</v>
      </c>
      <c r="F125" t="s">
        <v>1592</v>
      </c>
      <c r="G125">
        <v>0</v>
      </c>
      <c r="H125">
        <v>18.341</v>
      </c>
      <c r="I125">
        <v>4</v>
      </c>
      <c r="J125">
        <v>1</v>
      </c>
      <c r="K125">
        <v>1120631</v>
      </c>
      <c r="L125">
        <v>0</v>
      </c>
      <c r="M125">
        <v>0</v>
      </c>
      <c r="N125">
        <v>0</v>
      </c>
      <c r="O125">
        <v>0</v>
      </c>
      <c r="P125">
        <v>105445</v>
      </c>
      <c r="Q125">
        <v>0</v>
      </c>
      <c r="R125">
        <v>0</v>
      </c>
      <c r="S125">
        <f t="shared" si="1"/>
        <v>105445</v>
      </c>
      <c r="T125">
        <v>0</v>
      </c>
      <c r="U125">
        <v>0</v>
      </c>
      <c r="V125">
        <v>0</v>
      </c>
      <c r="W125">
        <v>1226076</v>
      </c>
    </row>
    <row r="126" spans="1:23" ht="12.75">
      <c r="A126" t="s">
        <v>1839</v>
      </c>
      <c r="B126" t="s">
        <v>1840</v>
      </c>
      <c r="C126" t="s">
        <v>1589</v>
      </c>
      <c r="D126" t="s">
        <v>1841</v>
      </c>
      <c r="F126" t="s">
        <v>1592</v>
      </c>
      <c r="G126">
        <v>0</v>
      </c>
      <c r="H126">
        <v>0</v>
      </c>
      <c r="I126">
        <v>0</v>
      </c>
      <c r="J126">
        <v>1</v>
      </c>
      <c r="K126">
        <v>51744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f t="shared" si="1"/>
        <v>0</v>
      </c>
      <c r="T126">
        <v>0</v>
      </c>
      <c r="U126">
        <v>0</v>
      </c>
      <c r="V126">
        <v>0</v>
      </c>
      <c r="W126">
        <v>51744</v>
      </c>
    </row>
    <row r="127" spans="1:23" ht="12.75">
      <c r="A127" t="s">
        <v>1843</v>
      </c>
      <c r="B127" t="s">
        <v>1844</v>
      </c>
      <c r="C127" t="s">
        <v>1589</v>
      </c>
      <c r="D127" t="s">
        <v>1845</v>
      </c>
      <c r="F127" t="s">
        <v>1592</v>
      </c>
      <c r="G127">
        <v>0</v>
      </c>
      <c r="H127">
        <v>1</v>
      </c>
      <c r="I127">
        <v>1</v>
      </c>
      <c r="J127">
        <v>0</v>
      </c>
      <c r="K127">
        <v>90672</v>
      </c>
      <c r="L127">
        <v>0</v>
      </c>
      <c r="M127">
        <v>17887</v>
      </c>
      <c r="N127">
        <v>63725</v>
      </c>
      <c r="O127">
        <v>0</v>
      </c>
      <c r="P127">
        <v>7250</v>
      </c>
      <c r="Q127">
        <v>0</v>
      </c>
      <c r="R127">
        <v>0</v>
      </c>
      <c r="S127">
        <f t="shared" si="1"/>
        <v>7250</v>
      </c>
      <c r="T127">
        <v>0</v>
      </c>
      <c r="U127">
        <v>0</v>
      </c>
      <c r="V127">
        <v>0</v>
      </c>
      <c r="W127">
        <v>179534</v>
      </c>
    </row>
    <row r="128" spans="1:23" ht="12.75">
      <c r="A128" t="s">
        <v>1846</v>
      </c>
      <c r="B128" t="s">
        <v>1847</v>
      </c>
      <c r="C128" t="s">
        <v>1589</v>
      </c>
      <c r="D128" t="s">
        <v>1848</v>
      </c>
      <c r="F128" t="s">
        <v>1592</v>
      </c>
      <c r="G128">
        <v>0</v>
      </c>
      <c r="H128">
        <v>1.501</v>
      </c>
      <c r="I128">
        <v>0</v>
      </c>
      <c r="J128">
        <v>1</v>
      </c>
      <c r="K128">
        <v>145176</v>
      </c>
      <c r="L128">
        <v>0</v>
      </c>
      <c r="M128">
        <v>0</v>
      </c>
      <c r="N128">
        <v>0</v>
      </c>
      <c r="O128">
        <v>0</v>
      </c>
      <c r="P128">
        <v>9048</v>
      </c>
      <c r="Q128">
        <v>0</v>
      </c>
      <c r="R128">
        <v>0</v>
      </c>
      <c r="S128">
        <f t="shared" si="1"/>
        <v>9048</v>
      </c>
      <c r="T128">
        <v>0</v>
      </c>
      <c r="U128">
        <v>0</v>
      </c>
      <c r="V128">
        <v>0</v>
      </c>
      <c r="W128">
        <v>154224</v>
      </c>
    </row>
    <row r="129" spans="1:23" ht="12.75">
      <c r="A129" t="s">
        <v>1849</v>
      </c>
      <c r="B129" t="s">
        <v>1850</v>
      </c>
      <c r="C129" t="s">
        <v>1589</v>
      </c>
      <c r="D129" t="s">
        <v>1851</v>
      </c>
      <c r="F129" t="s">
        <v>1592</v>
      </c>
      <c r="G129">
        <v>0</v>
      </c>
      <c r="H129">
        <v>0.5</v>
      </c>
      <c r="I129">
        <v>0</v>
      </c>
      <c r="J129">
        <v>0</v>
      </c>
      <c r="K129">
        <v>27300</v>
      </c>
      <c r="L129">
        <v>0</v>
      </c>
      <c r="M129">
        <v>0</v>
      </c>
      <c r="N129">
        <v>0</v>
      </c>
      <c r="O129">
        <v>0</v>
      </c>
      <c r="P129">
        <v>5575</v>
      </c>
      <c r="Q129">
        <v>0</v>
      </c>
      <c r="R129">
        <v>0</v>
      </c>
      <c r="S129">
        <f t="shared" si="1"/>
        <v>5575</v>
      </c>
      <c r="T129">
        <v>0</v>
      </c>
      <c r="U129">
        <v>0</v>
      </c>
      <c r="V129">
        <v>0</v>
      </c>
      <c r="W129">
        <v>32875</v>
      </c>
    </row>
    <row r="130" spans="1:23" ht="12.75">
      <c r="A130" t="s">
        <v>1853</v>
      </c>
      <c r="B130" t="s">
        <v>1854</v>
      </c>
      <c r="C130" t="s">
        <v>1589</v>
      </c>
      <c r="D130" t="s">
        <v>1855</v>
      </c>
      <c r="F130" t="s">
        <v>1592</v>
      </c>
      <c r="G130">
        <v>0</v>
      </c>
      <c r="H130">
        <v>3</v>
      </c>
      <c r="I130">
        <v>0</v>
      </c>
      <c r="J130">
        <v>0</v>
      </c>
      <c r="K130">
        <v>57738</v>
      </c>
      <c r="L130">
        <v>0</v>
      </c>
      <c r="M130">
        <v>30000</v>
      </c>
      <c r="N130">
        <v>0</v>
      </c>
      <c r="O130">
        <v>0</v>
      </c>
      <c r="P130">
        <v>95972</v>
      </c>
      <c r="Q130">
        <v>0</v>
      </c>
      <c r="R130">
        <v>0</v>
      </c>
      <c r="S130">
        <f t="shared" si="1"/>
        <v>95972</v>
      </c>
      <c r="T130">
        <v>0</v>
      </c>
      <c r="U130">
        <v>0</v>
      </c>
      <c r="V130">
        <v>0</v>
      </c>
      <c r="W130">
        <v>183710</v>
      </c>
    </row>
    <row r="131" spans="1:23" ht="12.75">
      <c r="A131" t="s">
        <v>1856</v>
      </c>
      <c r="B131" t="s">
        <v>1857</v>
      </c>
      <c r="C131" t="s">
        <v>1589</v>
      </c>
      <c r="D131" t="s">
        <v>1858</v>
      </c>
      <c r="F131" t="s">
        <v>1592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54290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f t="shared" si="1"/>
        <v>0</v>
      </c>
      <c r="T131">
        <v>0</v>
      </c>
      <c r="U131">
        <v>0</v>
      </c>
      <c r="V131">
        <v>0</v>
      </c>
      <c r="W131">
        <v>54290</v>
      </c>
    </row>
    <row r="132" spans="1:23" ht="12.75">
      <c r="A132" t="s">
        <v>1859</v>
      </c>
      <c r="B132" t="s">
        <v>1860</v>
      </c>
      <c r="C132" t="s">
        <v>1589</v>
      </c>
      <c r="D132" t="s">
        <v>1861</v>
      </c>
      <c r="F132" t="s">
        <v>1592</v>
      </c>
      <c r="G132">
        <v>0</v>
      </c>
      <c r="H132">
        <v>0</v>
      </c>
      <c r="I132">
        <v>1</v>
      </c>
      <c r="J132">
        <v>0</v>
      </c>
      <c r="K132">
        <v>21912</v>
      </c>
      <c r="L132">
        <v>0</v>
      </c>
      <c r="M132">
        <v>0</v>
      </c>
      <c r="N132">
        <v>108337.5</v>
      </c>
      <c r="O132">
        <v>0</v>
      </c>
      <c r="P132">
        <v>8000</v>
      </c>
      <c r="Q132">
        <v>0</v>
      </c>
      <c r="R132">
        <v>0</v>
      </c>
      <c r="S132">
        <f aca="true" t="shared" si="2" ref="S132:S195">SUM(P132:R132)</f>
        <v>8000</v>
      </c>
      <c r="T132">
        <v>0</v>
      </c>
      <c r="U132">
        <v>0</v>
      </c>
      <c r="V132">
        <v>0</v>
      </c>
      <c r="W132">
        <v>138249.5</v>
      </c>
    </row>
    <row r="133" spans="1:23" ht="12.75">
      <c r="A133" t="s">
        <v>1862</v>
      </c>
      <c r="B133" t="s">
        <v>1863</v>
      </c>
      <c r="C133" t="s">
        <v>1589</v>
      </c>
      <c r="D133" t="s">
        <v>1864</v>
      </c>
      <c r="F133" t="s">
        <v>1592</v>
      </c>
      <c r="G133">
        <v>0</v>
      </c>
      <c r="H133">
        <v>8</v>
      </c>
      <c r="I133">
        <v>1</v>
      </c>
      <c r="J133">
        <v>2</v>
      </c>
      <c r="K133">
        <v>640272</v>
      </c>
      <c r="L133">
        <v>0</v>
      </c>
      <c r="M133">
        <v>0</v>
      </c>
      <c r="N133">
        <v>0</v>
      </c>
      <c r="O133">
        <v>0</v>
      </c>
      <c r="P133">
        <v>21511</v>
      </c>
      <c r="Q133">
        <v>0</v>
      </c>
      <c r="R133">
        <v>0</v>
      </c>
      <c r="S133">
        <f t="shared" si="2"/>
        <v>21511</v>
      </c>
      <c r="T133">
        <v>0</v>
      </c>
      <c r="U133">
        <v>0</v>
      </c>
      <c r="V133">
        <v>0</v>
      </c>
      <c r="W133">
        <v>661783</v>
      </c>
    </row>
    <row r="134" spans="1:23" ht="12.75">
      <c r="A134" t="s">
        <v>1865</v>
      </c>
      <c r="B134" t="s">
        <v>1866</v>
      </c>
      <c r="C134" t="s">
        <v>1589</v>
      </c>
      <c r="D134" t="s">
        <v>1867</v>
      </c>
      <c r="F134" t="s">
        <v>1592</v>
      </c>
      <c r="G134">
        <v>0</v>
      </c>
      <c r="H134">
        <v>15.847999999999999</v>
      </c>
      <c r="I134">
        <v>3</v>
      </c>
      <c r="J134">
        <v>2</v>
      </c>
      <c r="K134">
        <v>1198188</v>
      </c>
      <c r="L134">
        <v>0</v>
      </c>
      <c r="M134">
        <v>17962</v>
      </c>
      <c r="N134">
        <v>0</v>
      </c>
      <c r="O134">
        <v>0</v>
      </c>
      <c r="P134">
        <v>35315</v>
      </c>
      <c r="Q134">
        <v>0</v>
      </c>
      <c r="R134">
        <v>0</v>
      </c>
      <c r="S134">
        <f t="shared" si="2"/>
        <v>35315</v>
      </c>
      <c r="T134">
        <v>0</v>
      </c>
      <c r="U134">
        <v>0</v>
      </c>
      <c r="V134">
        <v>0</v>
      </c>
      <c r="W134">
        <v>1251465</v>
      </c>
    </row>
    <row r="135" spans="1:23" ht="12.75">
      <c r="A135" t="s">
        <v>1868</v>
      </c>
      <c r="B135" t="s">
        <v>1869</v>
      </c>
      <c r="C135" t="s">
        <v>1589</v>
      </c>
      <c r="D135" t="s">
        <v>1870</v>
      </c>
      <c r="F135" t="s">
        <v>1592</v>
      </c>
      <c r="G135">
        <v>0</v>
      </c>
      <c r="H135">
        <v>17.318</v>
      </c>
      <c r="I135">
        <v>3.5</v>
      </c>
      <c r="J135">
        <v>0</v>
      </c>
      <c r="K135">
        <v>1234782</v>
      </c>
      <c r="L135">
        <v>0</v>
      </c>
      <c r="M135">
        <v>3783</v>
      </c>
      <c r="N135">
        <v>82336.5</v>
      </c>
      <c r="O135">
        <v>0</v>
      </c>
      <c r="P135">
        <v>37166</v>
      </c>
      <c r="Q135">
        <v>0</v>
      </c>
      <c r="R135">
        <v>0</v>
      </c>
      <c r="S135">
        <f t="shared" si="2"/>
        <v>37166</v>
      </c>
      <c r="T135">
        <v>0</v>
      </c>
      <c r="U135">
        <v>0</v>
      </c>
      <c r="V135">
        <v>0</v>
      </c>
      <c r="W135">
        <v>1358067.5</v>
      </c>
    </row>
    <row r="136" spans="1:23" ht="12.75">
      <c r="A136" t="s">
        <v>1872</v>
      </c>
      <c r="B136" t="s">
        <v>1873</v>
      </c>
      <c r="C136" t="s">
        <v>1589</v>
      </c>
      <c r="D136" t="s">
        <v>1874</v>
      </c>
      <c r="F136" t="s">
        <v>1592</v>
      </c>
      <c r="G136">
        <v>0</v>
      </c>
      <c r="H136">
        <v>4</v>
      </c>
      <c r="I136">
        <v>1</v>
      </c>
      <c r="J136">
        <v>11</v>
      </c>
      <c r="K136">
        <v>265898</v>
      </c>
      <c r="L136">
        <v>0</v>
      </c>
      <c r="M136">
        <v>32191</v>
      </c>
      <c r="N136">
        <v>0</v>
      </c>
      <c r="O136">
        <v>0</v>
      </c>
      <c r="P136">
        <v>77712</v>
      </c>
      <c r="Q136">
        <v>0</v>
      </c>
      <c r="R136">
        <v>0</v>
      </c>
      <c r="S136">
        <f t="shared" si="2"/>
        <v>77712</v>
      </c>
      <c r="T136">
        <v>0</v>
      </c>
      <c r="U136">
        <v>0</v>
      </c>
      <c r="V136">
        <v>4000</v>
      </c>
      <c r="W136">
        <v>379801</v>
      </c>
    </row>
    <row r="137" spans="1:23" ht="12.75">
      <c r="A137" t="s">
        <v>1875</v>
      </c>
      <c r="B137" t="s">
        <v>1876</v>
      </c>
      <c r="C137" t="s">
        <v>1589</v>
      </c>
      <c r="D137" t="s">
        <v>1877</v>
      </c>
      <c r="F137" t="s">
        <v>1592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136800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f t="shared" si="2"/>
        <v>0</v>
      </c>
      <c r="T137">
        <v>0</v>
      </c>
      <c r="U137">
        <v>0</v>
      </c>
      <c r="V137">
        <v>0</v>
      </c>
      <c r="W137">
        <v>136800</v>
      </c>
    </row>
    <row r="138" spans="1:23" ht="12.75">
      <c r="A138" t="s">
        <v>1878</v>
      </c>
      <c r="B138" t="s">
        <v>1879</v>
      </c>
      <c r="C138" t="s">
        <v>1589</v>
      </c>
      <c r="D138" t="s">
        <v>1880</v>
      </c>
      <c r="F138" t="s">
        <v>1592</v>
      </c>
      <c r="G138">
        <v>1</v>
      </c>
      <c r="H138">
        <v>0</v>
      </c>
      <c r="I138">
        <v>0</v>
      </c>
      <c r="J138">
        <v>0</v>
      </c>
      <c r="K138">
        <v>51612</v>
      </c>
      <c r="L138">
        <v>0</v>
      </c>
      <c r="M138">
        <v>360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f t="shared" si="2"/>
        <v>0</v>
      </c>
      <c r="T138">
        <v>0</v>
      </c>
      <c r="U138">
        <v>0</v>
      </c>
      <c r="V138">
        <v>0</v>
      </c>
      <c r="W138">
        <v>51972</v>
      </c>
    </row>
    <row r="139" spans="1:23" ht="12.75">
      <c r="A139" t="s">
        <v>1881</v>
      </c>
      <c r="B139" t="s">
        <v>1882</v>
      </c>
      <c r="C139" t="s">
        <v>1589</v>
      </c>
      <c r="D139" t="s">
        <v>1883</v>
      </c>
      <c r="F139" t="s">
        <v>1592</v>
      </c>
      <c r="G139">
        <v>0</v>
      </c>
      <c r="H139">
        <v>0</v>
      </c>
      <c r="I139">
        <v>1</v>
      </c>
      <c r="J139">
        <v>0</v>
      </c>
      <c r="K139">
        <v>23700</v>
      </c>
      <c r="L139">
        <v>0</v>
      </c>
      <c r="M139">
        <v>0</v>
      </c>
      <c r="N139">
        <v>0</v>
      </c>
      <c r="O139">
        <v>0</v>
      </c>
      <c r="P139">
        <v>8562</v>
      </c>
      <c r="Q139">
        <v>0</v>
      </c>
      <c r="R139">
        <v>0</v>
      </c>
      <c r="S139">
        <f t="shared" si="2"/>
        <v>8562</v>
      </c>
      <c r="T139">
        <v>0</v>
      </c>
      <c r="U139">
        <v>0</v>
      </c>
      <c r="V139">
        <v>0</v>
      </c>
      <c r="W139">
        <v>32262</v>
      </c>
    </row>
    <row r="140" spans="1:23" ht="12.75">
      <c r="A140" t="s">
        <v>1884</v>
      </c>
      <c r="B140" t="s">
        <v>1885</v>
      </c>
      <c r="C140" t="s">
        <v>1589</v>
      </c>
      <c r="D140" t="s">
        <v>1886</v>
      </c>
      <c r="F140" t="s">
        <v>1592</v>
      </c>
      <c r="G140">
        <v>0</v>
      </c>
      <c r="H140">
        <v>1</v>
      </c>
      <c r="I140">
        <v>3</v>
      </c>
      <c r="J140">
        <v>1</v>
      </c>
      <c r="K140">
        <v>171288</v>
      </c>
      <c r="L140">
        <v>0</v>
      </c>
      <c r="M140">
        <v>0</v>
      </c>
      <c r="N140">
        <v>17334</v>
      </c>
      <c r="O140">
        <v>0</v>
      </c>
      <c r="P140">
        <v>19507</v>
      </c>
      <c r="Q140">
        <v>0</v>
      </c>
      <c r="R140">
        <v>0</v>
      </c>
      <c r="S140">
        <f t="shared" si="2"/>
        <v>19507</v>
      </c>
      <c r="T140">
        <v>0</v>
      </c>
      <c r="U140">
        <v>0</v>
      </c>
      <c r="V140">
        <v>0</v>
      </c>
      <c r="W140">
        <v>208129</v>
      </c>
    </row>
    <row r="141" spans="1:23" ht="12.75">
      <c r="A141" t="s">
        <v>1887</v>
      </c>
      <c r="B141" t="s">
        <v>1888</v>
      </c>
      <c r="C141" t="s">
        <v>1589</v>
      </c>
      <c r="D141" t="s">
        <v>1889</v>
      </c>
      <c r="F141" t="s">
        <v>1592</v>
      </c>
      <c r="G141">
        <v>0</v>
      </c>
      <c r="H141">
        <v>3</v>
      </c>
      <c r="I141">
        <v>1</v>
      </c>
      <c r="J141">
        <v>2</v>
      </c>
      <c r="K141">
        <v>225636</v>
      </c>
      <c r="L141">
        <v>0</v>
      </c>
      <c r="M141">
        <v>0</v>
      </c>
      <c r="N141">
        <v>0</v>
      </c>
      <c r="O141">
        <v>0</v>
      </c>
      <c r="P141">
        <v>19365</v>
      </c>
      <c r="Q141">
        <v>0</v>
      </c>
      <c r="R141">
        <v>0</v>
      </c>
      <c r="S141">
        <f t="shared" si="2"/>
        <v>19365</v>
      </c>
      <c r="T141">
        <v>0</v>
      </c>
      <c r="U141">
        <v>0</v>
      </c>
      <c r="V141">
        <v>0</v>
      </c>
      <c r="W141">
        <v>245001</v>
      </c>
    </row>
    <row r="142" spans="1:23" ht="12.75">
      <c r="A142" t="s">
        <v>1890</v>
      </c>
      <c r="B142" t="s">
        <v>1891</v>
      </c>
      <c r="G142">
        <v>0</v>
      </c>
      <c r="H142">
        <v>5</v>
      </c>
      <c r="I142">
        <v>1</v>
      </c>
      <c r="J142">
        <v>0</v>
      </c>
      <c r="K142">
        <v>245470</v>
      </c>
      <c r="L142">
        <v>0</v>
      </c>
      <c r="M142">
        <v>0</v>
      </c>
      <c r="N142">
        <v>34668</v>
      </c>
      <c r="O142">
        <v>0</v>
      </c>
      <c r="P142">
        <v>9794</v>
      </c>
      <c r="Q142">
        <v>0</v>
      </c>
      <c r="R142">
        <v>0</v>
      </c>
      <c r="S142">
        <f t="shared" si="2"/>
        <v>9794</v>
      </c>
      <c r="T142">
        <v>0</v>
      </c>
      <c r="U142">
        <v>0</v>
      </c>
      <c r="V142">
        <v>0</v>
      </c>
      <c r="W142">
        <v>289932</v>
      </c>
    </row>
    <row r="143" spans="1:23" ht="12.75">
      <c r="A143" t="s">
        <v>1892</v>
      </c>
      <c r="B143" t="s">
        <v>1893</v>
      </c>
      <c r="G143">
        <v>0</v>
      </c>
      <c r="H143">
        <v>4</v>
      </c>
      <c r="I143">
        <v>1</v>
      </c>
      <c r="J143">
        <v>0</v>
      </c>
      <c r="K143">
        <v>224556</v>
      </c>
      <c r="L143">
        <v>0</v>
      </c>
      <c r="M143">
        <v>0</v>
      </c>
      <c r="N143">
        <v>8667</v>
      </c>
      <c r="O143">
        <v>0</v>
      </c>
      <c r="P143">
        <v>10466</v>
      </c>
      <c r="Q143">
        <v>0</v>
      </c>
      <c r="R143">
        <v>0</v>
      </c>
      <c r="S143">
        <f t="shared" si="2"/>
        <v>10466</v>
      </c>
      <c r="T143">
        <v>0</v>
      </c>
      <c r="U143">
        <v>0</v>
      </c>
      <c r="V143">
        <v>0</v>
      </c>
      <c r="W143">
        <v>243689</v>
      </c>
    </row>
    <row r="144" spans="1:23" ht="12.75">
      <c r="A144" t="s">
        <v>1894</v>
      </c>
      <c r="B144" t="s">
        <v>1895</v>
      </c>
      <c r="G144">
        <v>0</v>
      </c>
      <c r="H144">
        <v>7</v>
      </c>
      <c r="I144">
        <v>1</v>
      </c>
      <c r="J144">
        <v>0</v>
      </c>
      <c r="K144">
        <v>341004</v>
      </c>
      <c r="L144">
        <v>0</v>
      </c>
      <c r="M144">
        <v>0</v>
      </c>
      <c r="N144">
        <v>34668</v>
      </c>
      <c r="O144">
        <v>0</v>
      </c>
      <c r="P144">
        <v>12456</v>
      </c>
      <c r="Q144">
        <v>0</v>
      </c>
      <c r="R144">
        <v>0</v>
      </c>
      <c r="S144">
        <f t="shared" si="2"/>
        <v>12456</v>
      </c>
      <c r="T144">
        <v>0</v>
      </c>
      <c r="U144">
        <v>0</v>
      </c>
      <c r="V144">
        <v>0</v>
      </c>
      <c r="W144">
        <v>388128</v>
      </c>
    </row>
    <row r="145" spans="1:23" ht="12.75">
      <c r="A145" t="s">
        <v>1896</v>
      </c>
      <c r="B145" t="s">
        <v>1897</v>
      </c>
      <c r="G145">
        <v>0</v>
      </c>
      <c r="H145">
        <v>4</v>
      </c>
      <c r="I145">
        <v>1</v>
      </c>
      <c r="J145">
        <v>2</v>
      </c>
      <c r="K145">
        <v>271644</v>
      </c>
      <c r="L145">
        <v>0</v>
      </c>
      <c r="M145">
        <v>0</v>
      </c>
      <c r="N145">
        <v>0</v>
      </c>
      <c r="O145">
        <v>0</v>
      </c>
      <c r="P145">
        <v>12355</v>
      </c>
      <c r="Q145">
        <v>0</v>
      </c>
      <c r="R145">
        <v>0</v>
      </c>
      <c r="S145">
        <f t="shared" si="2"/>
        <v>12355</v>
      </c>
      <c r="T145">
        <v>0</v>
      </c>
      <c r="U145">
        <v>0</v>
      </c>
      <c r="V145">
        <v>0</v>
      </c>
      <c r="W145">
        <v>283999</v>
      </c>
    </row>
    <row r="146" spans="1:23" ht="12.75">
      <c r="A146" t="s">
        <v>1898</v>
      </c>
      <c r="B146" t="s">
        <v>1899</v>
      </c>
      <c r="G146">
        <v>0</v>
      </c>
      <c r="H146">
        <v>12</v>
      </c>
      <c r="I146">
        <v>2</v>
      </c>
      <c r="J146">
        <v>2</v>
      </c>
      <c r="K146">
        <v>692868</v>
      </c>
      <c r="L146">
        <v>0</v>
      </c>
      <c r="M146">
        <v>0</v>
      </c>
      <c r="N146">
        <v>52002</v>
      </c>
      <c r="O146">
        <v>0</v>
      </c>
      <c r="P146">
        <v>36065</v>
      </c>
      <c r="Q146">
        <v>0</v>
      </c>
      <c r="R146">
        <v>0</v>
      </c>
      <c r="S146">
        <f t="shared" si="2"/>
        <v>36065</v>
      </c>
      <c r="T146">
        <v>0</v>
      </c>
      <c r="U146">
        <v>0</v>
      </c>
      <c r="V146">
        <v>0</v>
      </c>
      <c r="W146">
        <v>780935</v>
      </c>
    </row>
    <row r="147" spans="1:23" ht="12.75">
      <c r="A147" t="s">
        <v>1900</v>
      </c>
      <c r="B147" t="s">
        <v>1901</v>
      </c>
      <c r="G147">
        <v>0</v>
      </c>
      <c r="H147">
        <v>9</v>
      </c>
      <c r="I147">
        <v>2</v>
      </c>
      <c r="J147">
        <v>0</v>
      </c>
      <c r="K147">
        <v>433284</v>
      </c>
      <c r="L147">
        <v>0</v>
      </c>
      <c r="M147">
        <v>0</v>
      </c>
      <c r="N147">
        <v>26001</v>
      </c>
      <c r="O147">
        <v>0</v>
      </c>
      <c r="P147">
        <v>20235</v>
      </c>
      <c r="Q147">
        <v>0</v>
      </c>
      <c r="R147">
        <v>0</v>
      </c>
      <c r="S147">
        <f t="shared" si="2"/>
        <v>20235</v>
      </c>
      <c r="T147">
        <v>0</v>
      </c>
      <c r="U147">
        <v>0</v>
      </c>
      <c r="V147">
        <v>0</v>
      </c>
      <c r="W147">
        <v>479520</v>
      </c>
    </row>
    <row r="148" spans="1:23" ht="12.75">
      <c r="A148" t="s">
        <v>1902</v>
      </c>
      <c r="B148" t="s">
        <v>1903</v>
      </c>
      <c r="C148" t="s">
        <v>1589</v>
      </c>
      <c r="D148" t="s">
        <v>1904</v>
      </c>
      <c r="F148" t="s">
        <v>1592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6471</v>
      </c>
      <c r="Q148">
        <v>0</v>
      </c>
      <c r="R148">
        <v>0</v>
      </c>
      <c r="S148">
        <f t="shared" si="2"/>
        <v>6471</v>
      </c>
      <c r="T148">
        <v>0</v>
      </c>
      <c r="U148">
        <v>0</v>
      </c>
      <c r="V148">
        <v>0</v>
      </c>
      <c r="W148">
        <v>6471</v>
      </c>
    </row>
    <row r="149" spans="1:23" ht="12.75">
      <c r="A149" t="s">
        <v>1905</v>
      </c>
      <c r="B149" t="s">
        <v>1906</v>
      </c>
      <c r="C149" t="s">
        <v>1589</v>
      </c>
      <c r="D149" t="s">
        <v>1907</v>
      </c>
      <c r="F149" t="s">
        <v>1592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11920</v>
      </c>
      <c r="N149">
        <v>0</v>
      </c>
      <c r="O149">
        <v>0</v>
      </c>
      <c r="P149">
        <v>42080</v>
      </c>
      <c r="Q149">
        <v>0</v>
      </c>
      <c r="R149">
        <v>0</v>
      </c>
      <c r="S149">
        <f t="shared" si="2"/>
        <v>42080</v>
      </c>
      <c r="T149">
        <v>0</v>
      </c>
      <c r="U149">
        <v>0</v>
      </c>
      <c r="V149">
        <v>0</v>
      </c>
      <c r="W149">
        <v>54000</v>
      </c>
    </row>
    <row r="150" spans="1:23" ht="12.75">
      <c r="A150" t="s">
        <v>1909</v>
      </c>
      <c r="B150" t="s">
        <v>1910</v>
      </c>
      <c r="C150" t="s">
        <v>1589</v>
      </c>
      <c r="D150" t="s">
        <v>1911</v>
      </c>
      <c r="F150" t="s">
        <v>1592</v>
      </c>
      <c r="G150">
        <v>1</v>
      </c>
      <c r="H150">
        <v>0</v>
      </c>
      <c r="I150">
        <v>8.539</v>
      </c>
      <c r="J150">
        <v>1</v>
      </c>
      <c r="K150">
        <v>424992</v>
      </c>
      <c r="L150">
        <v>0</v>
      </c>
      <c r="M150">
        <v>17749</v>
      </c>
      <c r="N150">
        <v>0</v>
      </c>
      <c r="O150">
        <v>0</v>
      </c>
      <c r="P150">
        <v>115555</v>
      </c>
      <c r="Q150">
        <v>0</v>
      </c>
      <c r="R150">
        <v>0</v>
      </c>
      <c r="S150">
        <f t="shared" si="2"/>
        <v>115555</v>
      </c>
      <c r="T150">
        <v>0</v>
      </c>
      <c r="U150">
        <v>0</v>
      </c>
      <c r="V150">
        <v>0</v>
      </c>
      <c r="W150">
        <v>558296</v>
      </c>
    </row>
    <row r="151" spans="1:23" ht="12.75">
      <c r="A151" t="s">
        <v>1912</v>
      </c>
      <c r="B151" t="s">
        <v>1913</v>
      </c>
      <c r="C151" t="s">
        <v>1589</v>
      </c>
      <c r="D151" t="s">
        <v>1914</v>
      </c>
      <c r="F151" t="s">
        <v>1592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29703</v>
      </c>
      <c r="N151">
        <v>0</v>
      </c>
      <c r="O151">
        <v>0</v>
      </c>
      <c r="P151">
        <v>0</v>
      </c>
      <c r="Q151">
        <v>0</v>
      </c>
      <c r="R151">
        <v>0</v>
      </c>
      <c r="S151">
        <f t="shared" si="2"/>
        <v>0</v>
      </c>
      <c r="T151">
        <v>0</v>
      </c>
      <c r="U151">
        <v>0</v>
      </c>
      <c r="V151">
        <v>0</v>
      </c>
      <c r="W151">
        <v>29703</v>
      </c>
    </row>
    <row r="152" spans="1:23" ht="12.75">
      <c r="A152" t="s">
        <v>1915</v>
      </c>
      <c r="B152" t="s">
        <v>1916</v>
      </c>
      <c r="C152" t="s">
        <v>1589</v>
      </c>
      <c r="D152" t="s">
        <v>1917</v>
      </c>
      <c r="F152" t="s">
        <v>1592</v>
      </c>
      <c r="G152">
        <v>0</v>
      </c>
      <c r="H152">
        <v>0.911</v>
      </c>
      <c r="I152">
        <v>0.461</v>
      </c>
      <c r="J152">
        <v>0</v>
      </c>
      <c r="K152">
        <v>74547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f t="shared" si="2"/>
        <v>0</v>
      </c>
      <c r="T152">
        <v>0</v>
      </c>
      <c r="U152">
        <v>0</v>
      </c>
      <c r="V152">
        <v>0</v>
      </c>
      <c r="W152">
        <v>74547</v>
      </c>
    </row>
    <row r="153" spans="1:23" ht="12.75">
      <c r="A153" t="s">
        <v>1918</v>
      </c>
      <c r="B153" t="s">
        <v>1919</v>
      </c>
      <c r="C153" t="s">
        <v>1589</v>
      </c>
      <c r="D153" t="s">
        <v>1920</v>
      </c>
      <c r="F153" t="s">
        <v>1592</v>
      </c>
      <c r="G153">
        <v>0</v>
      </c>
      <c r="H153">
        <v>6.2589999999999995</v>
      </c>
      <c r="I153">
        <v>3.455</v>
      </c>
      <c r="J153">
        <v>1.834</v>
      </c>
      <c r="K153">
        <v>683256</v>
      </c>
      <c r="L153">
        <v>0</v>
      </c>
      <c r="M153">
        <v>2474</v>
      </c>
      <c r="N153">
        <v>8668</v>
      </c>
      <c r="O153">
        <v>0</v>
      </c>
      <c r="P153">
        <v>22894</v>
      </c>
      <c r="Q153">
        <v>0</v>
      </c>
      <c r="R153">
        <v>0</v>
      </c>
      <c r="S153">
        <f t="shared" si="2"/>
        <v>22894</v>
      </c>
      <c r="T153">
        <v>0</v>
      </c>
      <c r="U153">
        <v>0</v>
      </c>
      <c r="V153">
        <v>0</v>
      </c>
      <c r="W153">
        <v>717292</v>
      </c>
    </row>
    <row r="154" spans="1:23" ht="12.75">
      <c r="A154" t="s">
        <v>1921</v>
      </c>
      <c r="B154" t="s">
        <v>1922</v>
      </c>
      <c r="C154" t="s">
        <v>1589</v>
      </c>
      <c r="D154" t="s">
        <v>1923</v>
      </c>
      <c r="F154" t="s">
        <v>1592</v>
      </c>
      <c r="G154">
        <v>0</v>
      </c>
      <c r="H154">
        <v>20.089000000000002</v>
      </c>
      <c r="I154">
        <v>4</v>
      </c>
      <c r="J154">
        <v>0</v>
      </c>
      <c r="K154">
        <v>1193566</v>
      </c>
      <c r="L154">
        <v>0</v>
      </c>
      <c r="M154">
        <v>0</v>
      </c>
      <c r="N154">
        <v>60676</v>
      </c>
      <c r="O154">
        <v>0</v>
      </c>
      <c r="P154">
        <v>88925</v>
      </c>
      <c r="Q154">
        <v>0</v>
      </c>
      <c r="R154">
        <v>0</v>
      </c>
      <c r="S154">
        <f t="shared" si="2"/>
        <v>88925</v>
      </c>
      <c r="T154">
        <v>0</v>
      </c>
      <c r="U154">
        <v>0</v>
      </c>
      <c r="V154">
        <v>0</v>
      </c>
      <c r="W154">
        <v>1343167</v>
      </c>
    </row>
    <row r="155" spans="1:23" ht="12.75">
      <c r="A155" t="s">
        <v>1924</v>
      </c>
      <c r="B155" t="s">
        <v>1925</v>
      </c>
      <c r="C155" t="s">
        <v>1589</v>
      </c>
      <c r="D155" t="s">
        <v>1926</v>
      </c>
      <c r="F155" t="s">
        <v>1592</v>
      </c>
      <c r="G155">
        <v>1</v>
      </c>
      <c r="H155">
        <v>11.75</v>
      </c>
      <c r="I155">
        <v>2</v>
      </c>
      <c r="J155">
        <v>0</v>
      </c>
      <c r="K155">
        <v>904896</v>
      </c>
      <c r="L155">
        <v>0</v>
      </c>
      <c r="M155">
        <v>5536</v>
      </c>
      <c r="N155">
        <v>52008</v>
      </c>
      <c r="O155">
        <v>0</v>
      </c>
      <c r="P155">
        <v>24178</v>
      </c>
      <c r="Q155">
        <v>0</v>
      </c>
      <c r="R155">
        <v>0</v>
      </c>
      <c r="S155">
        <f t="shared" si="2"/>
        <v>24178</v>
      </c>
      <c r="T155">
        <v>0</v>
      </c>
      <c r="U155">
        <v>0</v>
      </c>
      <c r="V155">
        <v>0</v>
      </c>
      <c r="W155">
        <v>986618</v>
      </c>
    </row>
    <row r="156" spans="1:23" ht="12.75">
      <c r="A156" t="s">
        <v>1927</v>
      </c>
      <c r="B156" t="s">
        <v>1928</v>
      </c>
      <c r="C156" t="s">
        <v>1589</v>
      </c>
      <c r="D156" t="s">
        <v>1929</v>
      </c>
      <c r="F156" t="s">
        <v>1592</v>
      </c>
      <c r="G156">
        <v>0</v>
      </c>
      <c r="H156">
        <v>15</v>
      </c>
      <c r="I156">
        <v>5</v>
      </c>
      <c r="J156">
        <v>0</v>
      </c>
      <c r="K156">
        <v>1005672</v>
      </c>
      <c r="L156">
        <v>0</v>
      </c>
      <c r="M156">
        <v>12362</v>
      </c>
      <c r="N156">
        <v>95348</v>
      </c>
      <c r="O156">
        <v>0</v>
      </c>
      <c r="P156">
        <v>59540</v>
      </c>
      <c r="Q156">
        <v>0</v>
      </c>
      <c r="R156">
        <v>0</v>
      </c>
      <c r="S156">
        <f t="shared" si="2"/>
        <v>59540</v>
      </c>
      <c r="T156">
        <v>0</v>
      </c>
      <c r="U156">
        <v>0</v>
      </c>
      <c r="V156">
        <v>0</v>
      </c>
      <c r="W156">
        <v>1172922</v>
      </c>
    </row>
    <row r="157" spans="1:23" ht="12.75">
      <c r="A157" t="s">
        <v>1930</v>
      </c>
      <c r="B157" t="s">
        <v>1931</v>
      </c>
      <c r="C157" t="s">
        <v>1589</v>
      </c>
      <c r="D157" t="s">
        <v>1932</v>
      </c>
      <c r="F157" t="s">
        <v>1592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34672</v>
      </c>
      <c r="O157">
        <v>0</v>
      </c>
      <c r="P157">
        <v>7000</v>
      </c>
      <c r="Q157">
        <v>0</v>
      </c>
      <c r="R157">
        <v>0</v>
      </c>
      <c r="S157">
        <f t="shared" si="2"/>
        <v>7000</v>
      </c>
      <c r="T157">
        <v>0</v>
      </c>
      <c r="U157">
        <v>0</v>
      </c>
      <c r="V157">
        <v>0</v>
      </c>
      <c r="W157">
        <v>41672</v>
      </c>
    </row>
    <row r="158" spans="1:23" ht="12.75">
      <c r="A158" t="s">
        <v>1933</v>
      </c>
      <c r="B158" t="s">
        <v>1934</v>
      </c>
      <c r="C158" t="s">
        <v>1589</v>
      </c>
      <c r="D158" t="s">
        <v>1935</v>
      </c>
      <c r="F158" t="s">
        <v>1592</v>
      </c>
      <c r="G158">
        <v>0</v>
      </c>
      <c r="H158">
        <v>12</v>
      </c>
      <c r="I158">
        <v>3.593</v>
      </c>
      <c r="J158">
        <v>0</v>
      </c>
      <c r="K158">
        <v>857286</v>
      </c>
      <c r="L158">
        <v>0</v>
      </c>
      <c r="M158">
        <v>3666</v>
      </c>
      <c r="N158">
        <v>52008</v>
      </c>
      <c r="O158">
        <v>0</v>
      </c>
      <c r="P158">
        <v>52177</v>
      </c>
      <c r="Q158">
        <v>0</v>
      </c>
      <c r="R158">
        <v>0</v>
      </c>
      <c r="S158">
        <f t="shared" si="2"/>
        <v>52177</v>
      </c>
      <c r="T158">
        <v>0</v>
      </c>
      <c r="U158">
        <v>0</v>
      </c>
      <c r="V158">
        <v>0</v>
      </c>
      <c r="W158">
        <v>965137</v>
      </c>
    </row>
    <row r="159" spans="1:23" ht="12.75">
      <c r="A159" t="s">
        <v>1937</v>
      </c>
      <c r="B159" t="s">
        <v>1938</v>
      </c>
      <c r="C159" t="s">
        <v>1589</v>
      </c>
      <c r="D159" t="s">
        <v>1939</v>
      </c>
      <c r="F159" t="s">
        <v>1592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1276</v>
      </c>
      <c r="N159">
        <v>18</v>
      </c>
      <c r="O159">
        <v>0</v>
      </c>
      <c r="P159">
        <v>76926</v>
      </c>
      <c r="Q159">
        <v>0</v>
      </c>
      <c r="R159">
        <v>0</v>
      </c>
      <c r="S159">
        <f t="shared" si="2"/>
        <v>76926</v>
      </c>
      <c r="T159">
        <v>0</v>
      </c>
      <c r="U159">
        <v>0</v>
      </c>
      <c r="V159">
        <v>3870</v>
      </c>
      <c r="W159">
        <v>82090</v>
      </c>
    </row>
    <row r="160" spans="1:23" ht="12.75">
      <c r="A160" t="s">
        <v>1940</v>
      </c>
      <c r="B160" t="s">
        <v>1941</v>
      </c>
      <c r="C160" t="s">
        <v>1589</v>
      </c>
      <c r="D160" t="s">
        <v>1942</v>
      </c>
      <c r="F160" t="s">
        <v>1592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116968</v>
      </c>
      <c r="N160">
        <v>0</v>
      </c>
      <c r="O160">
        <v>0</v>
      </c>
      <c r="P160">
        <v>0</v>
      </c>
      <c r="Q160">
        <v>0</v>
      </c>
      <c r="R160">
        <v>0</v>
      </c>
      <c r="S160">
        <f t="shared" si="2"/>
        <v>0</v>
      </c>
      <c r="T160">
        <v>0</v>
      </c>
      <c r="U160">
        <v>0</v>
      </c>
      <c r="V160">
        <v>0</v>
      </c>
      <c r="W160">
        <v>116968</v>
      </c>
    </row>
    <row r="161" spans="1:23" ht="12.75">
      <c r="A161" t="s">
        <v>1943</v>
      </c>
      <c r="B161" t="s">
        <v>1944</v>
      </c>
      <c r="C161" t="s">
        <v>1589</v>
      </c>
      <c r="D161" t="s">
        <v>1945</v>
      </c>
      <c r="F161" t="s">
        <v>1592</v>
      </c>
      <c r="G161">
        <v>0</v>
      </c>
      <c r="H161">
        <v>1.525</v>
      </c>
      <c r="I161">
        <v>1</v>
      </c>
      <c r="J161">
        <v>0</v>
      </c>
      <c r="K161">
        <v>111192</v>
      </c>
      <c r="L161">
        <v>0</v>
      </c>
      <c r="M161">
        <v>0</v>
      </c>
      <c r="N161">
        <v>0</v>
      </c>
      <c r="O161">
        <v>0</v>
      </c>
      <c r="P161">
        <v>525807</v>
      </c>
      <c r="Q161">
        <v>0</v>
      </c>
      <c r="R161">
        <v>0</v>
      </c>
      <c r="S161">
        <f t="shared" si="2"/>
        <v>525807</v>
      </c>
      <c r="T161">
        <v>0</v>
      </c>
      <c r="U161">
        <v>0</v>
      </c>
      <c r="V161">
        <v>0</v>
      </c>
      <c r="W161">
        <v>636999</v>
      </c>
    </row>
    <row r="162" spans="1:23" ht="12.75">
      <c r="A162" t="s">
        <v>1946</v>
      </c>
      <c r="B162" t="s">
        <v>1947</v>
      </c>
      <c r="C162" t="s">
        <v>1589</v>
      </c>
      <c r="D162" t="s">
        <v>1948</v>
      </c>
      <c r="F162" t="s">
        <v>1592</v>
      </c>
      <c r="G162">
        <v>1</v>
      </c>
      <c r="H162">
        <v>11</v>
      </c>
      <c r="I162">
        <v>3</v>
      </c>
      <c r="J162">
        <v>7</v>
      </c>
      <c r="K162">
        <v>956196</v>
      </c>
      <c r="L162">
        <v>0</v>
      </c>
      <c r="M162">
        <v>5773</v>
      </c>
      <c r="N162">
        <v>34668</v>
      </c>
      <c r="O162">
        <v>0</v>
      </c>
      <c r="P162">
        <v>46418</v>
      </c>
      <c r="Q162">
        <v>0</v>
      </c>
      <c r="R162">
        <v>0</v>
      </c>
      <c r="S162">
        <f t="shared" si="2"/>
        <v>46418</v>
      </c>
      <c r="T162">
        <v>0</v>
      </c>
      <c r="U162">
        <v>0</v>
      </c>
      <c r="V162">
        <v>0</v>
      </c>
      <c r="W162">
        <v>1043055</v>
      </c>
    </row>
    <row r="163" spans="1:23" ht="12.75">
      <c r="A163" t="s">
        <v>1949</v>
      </c>
      <c r="B163" t="s">
        <v>1950</v>
      </c>
      <c r="C163" t="s">
        <v>1589</v>
      </c>
      <c r="D163" t="s">
        <v>1951</v>
      </c>
      <c r="F163" t="s">
        <v>1592</v>
      </c>
      <c r="G163">
        <v>0</v>
      </c>
      <c r="H163">
        <v>1</v>
      </c>
      <c r="I163">
        <v>0</v>
      </c>
      <c r="J163">
        <v>2</v>
      </c>
      <c r="K163">
        <v>126636</v>
      </c>
      <c r="L163">
        <v>0</v>
      </c>
      <c r="M163">
        <v>9839</v>
      </c>
      <c r="N163">
        <v>0</v>
      </c>
      <c r="O163">
        <v>0</v>
      </c>
      <c r="P163">
        <v>16463</v>
      </c>
      <c r="Q163">
        <v>0</v>
      </c>
      <c r="R163">
        <v>0</v>
      </c>
      <c r="S163">
        <f t="shared" si="2"/>
        <v>16463</v>
      </c>
      <c r="T163">
        <v>0</v>
      </c>
      <c r="U163">
        <v>0</v>
      </c>
      <c r="V163">
        <v>2140</v>
      </c>
      <c r="W163">
        <v>155078</v>
      </c>
    </row>
    <row r="164" spans="1:23" ht="12.75">
      <c r="A164" t="s">
        <v>1952</v>
      </c>
      <c r="B164" t="s">
        <v>1953</v>
      </c>
      <c r="C164" t="s">
        <v>1589</v>
      </c>
      <c r="D164" t="s">
        <v>1954</v>
      </c>
      <c r="F164" t="s">
        <v>1592</v>
      </c>
      <c r="G164">
        <v>0</v>
      </c>
      <c r="H164">
        <v>5.777</v>
      </c>
      <c r="I164">
        <v>3</v>
      </c>
      <c r="J164">
        <v>1</v>
      </c>
      <c r="K164">
        <v>397284</v>
      </c>
      <c r="L164">
        <v>0</v>
      </c>
      <c r="M164">
        <v>164418</v>
      </c>
      <c r="N164">
        <v>0</v>
      </c>
      <c r="O164">
        <v>0</v>
      </c>
      <c r="P164">
        <v>31588</v>
      </c>
      <c r="Q164">
        <v>0</v>
      </c>
      <c r="R164">
        <v>0</v>
      </c>
      <c r="S164">
        <f t="shared" si="2"/>
        <v>31588</v>
      </c>
      <c r="T164">
        <v>0</v>
      </c>
      <c r="U164">
        <v>0</v>
      </c>
      <c r="V164">
        <v>0</v>
      </c>
      <c r="W164">
        <v>593290</v>
      </c>
    </row>
    <row r="165" spans="1:23" ht="12.75">
      <c r="A165" t="s">
        <v>1955</v>
      </c>
      <c r="B165" t="s">
        <v>1956</v>
      </c>
      <c r="C165" t="s">
        <v>1589</v>
      </c>
      <c r="D165" t="s">
        <v>1957</v>
      </c>
      <c r="F165" t="s">
        <v>1592</v>
      </c>
      <c r="G165">
        <v>1</v>
      </c>
      <c r="H165">
        <v>7</v>
      </c>
      <c r="I165">
        <v>2</v>
      </c>
      <c r="J165">
        <v>3</v>
      </c>
      <c r="K165">
        <v>516900</v>
      </c>
      <c r="L165">
        <v>0</v>
      </c>
      <c r="M165">
        <v>4188</v>
      </c>
      <c r="N165">
        <v>34668</v>
      </c>
      <c r="O165">
        <v>0</v>
      </c>
      <c r="P165">
        <v>15129</v>
      </c>
      <c r="Q165">
        <v>0</v>
      </c>
      <c r="R165">
        <v>0</v>
      </c>
      <c r="S165">
        <f t="shared" si="2"/>
        <v>15129</v>
      </c>
      <c r="T165">
        <v>0</v>
      </c>
      <c r="U165">
        <v>0</v>
      </c>
      <c r="V165">
        <v>0</v>
      </c>
      <c r="W165">
        <v>570885</v>
      </c>
    </row>
    <row r="166" spans="1:23" ht="12.75">
      <c r="A166" t="s">
        <v>1958</v>
      </c>
      <c r="B166" t="s">
        <v>1959</v>
      </c>
      <c r="C166" t="s">
        <v>1589</v>
      </c>
      <c r="D166" t="s">
        <v>1960</v>
      </c>
      <c r="F166" t="s">
        <v>1592</v>
      </c>
      <c r="G166">
        <v>1</v>
      </c>
      <c r="H166">
        <v>19.367</v>
      </c>
      <c r="I166">
        <v>5</v>
      </c>
      <c r="J166">
        <v>1</v>
      </c>
      <c r="K166">
        <v>1311168</v>
      </c>
      <c r="L166">
        <v>0</v>
      </c>
      <c r="M166">
        <v>6812</v>
      </c>
      <c r="N166">
        <v>0</v>
      </c>
      <c r="O166">
        <v>0</v>
      </c>
      <c r="P166">
        <v>279209</v>
      </c>
      <c r="Q166">
        <v>0</v>
      </c>
      <c r="R166">
        <v>0</v>
      </c>
      <c r="S166">
        <f t="shared" si="2"/>
        <v>279209</v>
      </c>
      <c r="T166">
        <v>0</v>
      </c>
      <c r="U166">
        <v>0</v>
      </c>
      <c r="V166">
        <v>0</v>
      </c>
      <c r="W166">
        <v>1597189</v>
      </c>
    </row>
    <row r="167" spans="1:23" ht="12.75">
      <c r="A167" t="s">
        <v>1961</v>
      </c>
      <c r="B167" t="s">
        <v>1962</v>
      </c>
      <c r="C167" t="s">
        <v>1589</v>
      </c>
      <c r="D167" t="s">
        <v>1963</v>
      </c>
      <c r="F167" t="s">
        <v>1592</v>
      </c>
      <c r="G167">
        <v>2</v>
      </c>
      <c r="H167">
        <v>10</v>
      </c>
      <c r="I167">
        <v>3</v>
      </c>
      <c r="J167">
        <v>3</v>
      </c>
      <c r="K167">
        <v>792296</v>
      </c>
      <c r="L167">
        <v>0</v>
      </c>
      <c r="M167">
        <v>18210</v>
      </c>
      <c r="N167">
        <v>60669</v>
      </c>
      <c r="O167">
        <v>0</v>
      </c>
      <c r="P167">
        <v>46301</v>
      </c>
      <c r="Q167">
        <v>0</v>
      </c>
      <c r="R167">
        <v>0</v>
      </c>
      <c r="S167">
        <f t="shared" si="2"/>
        <v>46301</v>
      </c>
      <c r="T167">
        <v>0</v>
      </c>
      <c r="U167">
        <v>0</v>
      </c>
      <c r="V167">
        <v>0</v>
      </c>
      <c r="W167">
        <v>917476</v>
      </c>
    </row>
    <row r="168" spans="1:23" ht="12.75">
      <c r="A168" t="s">
        <v>1965</v>
      </c>
      <c r="B168" t="s">
        <v>1966</v>
      </c>
      <c r="C168" t="s">
        <v>1589</v>
      </c>
      <c r="D168" t="s">
        <v>1967</v>
      </c>
      <c r="F168" t="s">
        <v>1592</v>
      </c>
      <c r="G168">
        <v>1</v>
      </c>
      <c r="H168">
        <v>17</v>
      </c>
      <c r="I168">
        <v>8</v>
      </c>
      <c r="J168">
        <v>0</v>
      </c>
      <c r="K168">
        <v>1476192</v>
      </c>
      <c r="L168">
        <v>0</v>
      </c>
      <c r="M168">
        <v>23289</v>
      </c>
      <c r="N168">
        <v>16358</v>
      </c>
      <c r="O168">
        <v>0</v>
      </c>
      <c r="P168">
        <v>130584</v>
      </c>
      <c r="Q168">
        <v>0</v>
      </c>
      <c r="R168">
        <v>0</v>
      </c>
      <c r="S168">
        <f t="shared" si="2"/>
        <v>130584</v>
      </c>
      <c r="T168">
        <v>0</v>
      </c>
      <c r="U168">
        <v>18000</v>
      </c>
      <c r="V168">
        <v>0</v>
      </c>
      <c r="W168">
        <v>1664423</v>
      </c>
    </row>
    <row r="169" spans="1:23" ht="12.75">
      <c r="A169" t="s">
        <v>1969</v>
      </c>
      <c r="B169" t="s">
        <v>1970</v>
      </c>
      <c r="C169" t="s">
        <v>1589</v>
      </c>
      <c r="D169" t="s">
        <v>1971</v>
      </c>
      <c r="F169" t="s">
        <v>1592</v>
      </c>
      <c r="G169">
        <v>2</v>
      </c>
      <c r="H169">
        <v>0</v>
      </c>
      <c r="I169">
        <v>1</v>
      </c>
      <c r="J169">
        <v>0</v>
      </c>
      <c r="K169">
        <v>192384</v>
      </c>
      <c r="L169">
        <v>0</v>
      </c>
      <c r="M169">
        <v>0</v>
      </c>
      <c r="N169">
        <v>0</v>
      </c>
      <c r="O169">
        <v>0</v>
      </c>
      <c r="P169">
        <v>39500</v>
      </c>
      <c r="Q169">
        <v>0</v>
      </c>
      <c r="R169">
        <v>0</v>
      </c>
      <c r="S169">
        <f t="shared" si="2"/>
        <v>39500</v>
      </c>
      <c r="T169">
        <v>0</v>
      </c>
      <c r="U169">
        <v>0</v>
      </c>
      <c r="V169">
        <v>0</v>
      </c>
      <c r="W169">
        <v>231884</v>
      </c>
    </row>
    <row r="170" spans="1:23" ht="12.75">
      <c r="A170" t="s">
        <v>1972</v>
      </c>
      <c r="B170" t="s">
        <v>1973</v>
      </c>
      <c r="C170" t="s">
        <v>1589</v>
      </c>
      <c r="D170" t="s">
        <v>1974</v>
      </c>
      <c r="F170" t="s">
        <v>1592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473989</v>
      </c>
      <c r="N170">
        <v>0</v>
      </c>
      <c r="O170">
        <v>0</v>
      </c>
      <c r="P170">
        <v>0</v>
      </c>
      <c r="Q170">
        <v>0</v>
      </c>
      <c r="R170">
        <v>0</v>
      </c>
      <c r="S170">
        <f t="shared" si="2"/>
        <v>0</v>
      </c>
      <c r="T170">
        <v>0</v>
      </c>
      <c r="U170">
        <v>0</v>
      </c>
      <c r="V170">
        <v>0</v>
      </c>
      <c r="W170">
        <v>473989</v>
      </c>
    </row>
    <row r="171" spans="1:23" ht="12.75">
      <c r="A171" t="s">
        <v>1975</v>
      </c>
      <c r="B171" t="s">
        <v>1976</v>
      </c>
      <c r="C171" t="s">
        <v>1589</v>
      </c>
      <c r="D171" t="s">
        <v>1977</v>
      </c>
      <c r="F171" t="s">
        <v>1592</v>
      </c>
      <c r="G171">
        <v>0</v>
      </c>
      <c r="H171">
        <v>0</v>
      </c>
      <c r="I171">
        <v>6.745</v>
      </c>
      <c r="J171">
        <v>0</v>
      </c>
      <c r="K171">
        <v>180591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f t="shared" si="2"/>
        <v>0</v>
      </c>
      <c r="T171">
        <v>0</v>
      </c>
      <c r="U171">
        <v>0</v>
      </c>
      <c r="V171">
        <v>0</v>
      </c>
      <c r="W171">
        <v>180591</v>
      </c>
    </row>
    <row r="172" spans="1:23" ht="12.75">
      <c r="A172" t="s">
        <v>1978</v>
      </c>
      <c r="B172" t="s">
        <v>1979</v>
      </c>
      <c r="C172" t="s">
        <v>1589</v>
      </c>
      <c r="D172" t="s">
        <v>1980</v>
      </c>
      <c r="F172" t="s">
        <v>1592</v>
      </c>
      <c r="G172">
        <v>0</v>
      </c>
      <c r="H172">
        <v>2</v>
      </c>
      <c r="I172">
        <v>14.5</v>
      </c>
      <c r="J172">
        <v>6</v>
      </c>
      <c r="K172">
        <v>686502</v>
      </c>
      <c r="L172">
        <v>0</v>
      </c>
      <c r="M172">
        <v>15757</v>
      </c>
      <c r="N172">
        <v>0</v>
      </c>
      <c r="O172">
        <v>0</v>
      </c>
      <c r="P172">
        <v>45781</v>
      </c>
      <c r="Q172">
        <v>0</v>
      </c>
      <c r="R172">
        <v>0</v>
      </c>
      <c r="S172">
        <f t="shared" si="2"/>
        <v>45781</v>
      </c>
      <c r="T172">
        <v>0</v>
      </c>
      <c r="U172">
        <v>0</v>
      </c>
      <c r="V172">
        <v>0</v>
      </c>
      <c r="W172">
        <v>748040</v>
      </c>
    </row>
    <row r="173" spans="1:23" ht="12.75">
      <c r="A173" t="s">
        <v>1981</v>
      </c>
      <c r="B173" t="s">
        <v>1982</v>
      </c>
      <c r="C173" t="s">
        <v>1589</v>
      </c>
      <c r="D173" t="s">
        <v>1983</v>
      </c>
      <c r="F173" t="s">
        <v>1592</v>
      </c>
      <c r="G173">
        <v>2</v>
      </c>
      <c r="H173">
        <v>7</v>
      </c>
      <c r="I173">
        <v>7.5</v>
      </c>
      <c r="J173">
        <v>2</v>
      </c>
      <c r="K173">
        <v>755532</v>
      </c>
      <c r="L173">
        <v>0</v>
      </c>
      <c r="M173">
        <v>0</v>
      </c>
      <c r="N173">
        <v>0</v>
      </c>
      <c r="O173">
        <v>0</v>
      </c>
      <c r="P173">
        <v>6307</v>
      </c>
      <c r="Q173">
        <v>0</v>
      </c>
      <c r="R173">
        <v>0</v>
      </c>
      <c r="S173">
        <f t="shared" si="2"/>
        <v>6307</v>
      </c>
      <c r="T173">
        <v>0</v>
      </c>
      <c r="U173">
        <v>0</v>
      </c>
      <c r="V173">
        <v>0</v>
      </c>
      <c r="W173">
        <v>761839</v>
      </c>
    </row>
    <row r="174" spans="1:23" ht="12.75">
      <c r="A174" t="s">
        <v>1984</v>
      </c>
      <c r="B174" t="s">
        <v>1985</v>
      </c>
      <c r="C174" t="s">
        <v>1589</v>
      </c>
      <c r="D174" t="s">
        <v>1986</v>
      </c>
      <c r="F174" t="s">
        <v>1592</v>
      </c>
      <c r="G174">
        <v>0</v>
      </c>
      <c r="H174">
        <v>1.9140000000000001</v>
      </c>
      <c r="I174">
        <v>1</v>
      </c>
      <c r="J174">
        <v>5</v>
      </c>
      <c r="K174">
        <v>264660</v>
      </c>
      <c r="L174">
        <v>0</v>
      </c>
      <c r="M174">
        <v>9179</v>
      </c>
      <c r="N174">
        <v>0</v>
      </c>
      <c r="O174">
        <v>0</v>
      </c>
      <c r="P174">
        <v>42145</v>
      </c>
      <c r="Q174">
        <v>0</v>
      </c>
      <c r="R174">
        <v>0</v>
      </c>
      <c r="S174">
        <f t="shared" si="2"/>
        <v>42145</v>
      </c>
      <c r="T174">
        <v>0</v>
      </c>
      <c r="U174">
        <v>0</v>
      </c>
      <c r="V174">
        <v>0</v>
      </c>
      <c r="W174">
        <v>315984</v>
      </c>
    </row>
    <row r="175" spans="1:23" ht="12.75">
      <c r="A175" t="s">
        <v>1987</v>
      </c>
      <c r="B175" t="s">
        <v>1988</v>
      </c>
      <c r="C175" t="s">
        <v>1589</v>
      </c>
      <c r="D175" t="s">
        <v>1989</v>
      </c>
      <c r="F175" t="s">
        <v>1592</v>
      </c>
      <c r="G175">
        <v>1</v>
      </c>
      <c r="H175">
        <v>0</v>
      </c>
      <c r="I175">
        <v>1</v>
      </c>
      <c r="J175">
        <v>0</v>
      </c>
      <c r="K175">
        <v>60912</v>
      </c>
      <c r="L175">
        <v>0</v>
      </c>
      <c r="M175">
        <v>500</v>
      </c>
      <c r="N175">
        <v>0</v>
      </c>
      <c r="O175">
        <v>0</v>
      </c>
      <c r="P175">
        <v>5996</v>
      </c>
      <c r="Q175">
        <v>0</v>
      </c>
      <c r="R175">
        <v>0</v>
      </c>
      <c r="S175">
        <f t="shared" si="2"/>
        <v>5996</v>
      </c>
      <c r="T175">
        <v>0</v>
      </c>
      <c r="U175">
        <v>0</v>
      </c>
      <c r="V175">
        <v>0</v>
      </c>
      <c r="W175">
        <v>67408</v>
      </c>
    </row>
    <row r="176" spans="1:23" ht="12.75">
      <c r="A176" t="s">
        <v>1990</v>
      </c>
      <c r="B176" t="s">
        <v>1991</v>
      </c>
      <c r="C176" t="s">
        <v>1589</v>
      </c>
      <c r="D176" t="s">
        <v>1992</v>
      </c>
      <c r="F176" t="s">
        <v>1592</v>
      </c>
      <c r="G176">
        <v>0</v>
      </c>
      <c r="H176">
        <v>0</v>
      </c>
      <c r="I176">
        <v>1</v>
      </c>
      <c r="J176">
        <v>0</v>
      </c>
      <c r="K176">
        <v>21804</v>
      </c>
      <c r="L176">
        <v>0</v>
      </c>
      <c r="M176">
        <v>0</v>
      </c>
      <c r="N176">
        <v>0</v>
      </c>
      <c r="O176">
        <v>0</v>
      </c>
      <c r="P176">
        <v>7030</v>
      </c>
      <c r="Q176">
        <v>0</v>
      </c>
      <c r="R176">
        <v>0</v>
      </c>
      <c r="S176">
        <f t="shared" si="2"/>
        <v>7030</v>
      </c>
      <c r="T176">
        <v>0</v>
      </c>
      <c r="U176">
        <v>0</v>
      </c>
      <c r="V176">
        <v>200</v>
      </c>
      <c r="W176">
        <v>29034</v>
      </c>
    </row>
    <row r="177" spans="1:23" ht="12.75">
      <c r="A177" t="s">
        <v>1993</v>
      </c>
      <c r="B177" t="s">
        <v>1994</v>
      </c>
      <c r="C177" t="s">
        <v>1589</v>
      </c>
      <c r="D177" t="s">
        <v>1995</v>
      </c>
      <c r="F177" t="s">
        <v>1592</v>
      </c>
      <c r="G177">
        <v>0</v>
      </c>
      <c r="H177">
        <v>0</v>
      </c>
      <c r="I177">
        <v>1</v>
      </c>
      <c r="J177">
        <v>0</v>
      </c>
      <c r="K177">
        <v>24168</v>
      </c>
      <c r="L177">
        <v>0</v>
      </c>
      <c r="M177">
        <v>0</v>
      </c>
      <c r="N177">
        <v>0</v>
      </c>
      <c r="O177">
        <v>0</v>
      </c>
      <c r="P177">
        <v>7797</v>
      </c>
      <c r="Q177">
        <v>0</v>
      </c>
      <c r="R177">
        <v>0</v>
      </c>
      <c r="S177">
        <f t="shared" si="2"/>
        <v>7797</v>
      </c>
      <c r="T177">
        <v>0</v>
      </c>
      <c r="U177">
        <v>0</v>
      </c>
      <c r="V177">
        <v>200</v>
      </c>
      <c r="W177">
        <v>32165</v>
      </c>
    </row>
    <row r="178" spans="1:23" ht="12.75">
      <c r="A178" t="s">
        <v>1996</v>
      </c>
      <c r="B178" t="s">
        <v>1997</v>
      </c>
      <c r="C178" t="s">
        <v>1589</v>
      </c>
      <c r="D178" t="s">
        <v>1998</v>
      </c>
      <c r="F178" t="s">
        <v>1592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8080</v>
      </c>
      <c r="N178">
        <v>0</v>
      </c>
      <c r="O178">
        <v>0</v>
      </c>
      <c r="P178">
        <v>12100</v>
      </c>
      <c r="Q178">
        <v>0</v>
      </c>
      <c r="R178">
        <v>0</v>
      </c>
      <c r="S178">
        <f t="shared" si="2"/>
        <v>12100</v>
      </c>
      <c r="T178">
        <v>0</v>
      </c>
      <c r="U178">
        <v>0</v>
      </c>
      <c r="V178">
        <v>0</v>
      </c>
      <c r="W178">
        <v>20180</v>
      </c>
    </row>
    <row r="179" spans="1:23" ht="12.75">
      <c r="A179" t="s">
        <v>1999</v>
      </c>
      <c r="B179" t="s">
        <v>2000</v>
      </c>
      <c r="C179" t="s">
        <v>1589</v>
      </c>
      <c r="D179" t="s">
        <v>2001</v>
      </c>
      <c r="F179" t="s">
        <v>1592</v>
      </c>
      <c r="G179">
        <v>0</v>
      </c>
      <c r="H179">
        <v>0</v>
      </c>
      <c r="I179">
        <v>0</v>
      </c>
      <c r="J179">
        <v>1.411</v>
      </c>
      <c r="K179">
        <v>44088</v>
      </c>
      <c r="L179">
        <v>0</v>
      </c>
      <c r="M179">
        <v>0</v>
      </c>
      <c r="N179">
        <v>0</v>
      </c>
      <c r="O179">
        <v>0</v>
      </c>
      <c r="P179">
        <v>27996</v>
      </c>
      <c r="Q179">
        <v>0</v>
      </c>
      <c r="R179">
        <v>0</v>
      </c>
      <c r="S179">
        <f t="shared" si="2"/>
        <v>27996</v>
      </c>
      <c r="T179">
        <v>0</v>
      </c>
      <c r="U179">
        <v>0</v>
      </c>
      <c r="V179">
        <v>0</v>
      </c>
      <c r="W179">
        <v>72084</v>
      </c>
    </row>
    <row r="180" spans="1:23" ht="12.75">
      <c r="A180" t="s">
        <v>2002</v>
      </c>
      <c r="B180" t="s">
        <v>2003</v>
      </c>
      <c r="C180" t="s">
        <v>1589</v>
      </c>
      <c r="D180" t="s">
        <v>2004</v>
      </c>
      <c r="F180" t="s">
        <v>1592</v>
      </c>
      <c r="G180">
        <v>0</v>
      </c>
      <c r="H180">
        <v>0</v>
      </c>
      <c r="I180">
        <v>0.5</v>
      </c>
      <c r="J180">
        <v>0</v>
      </c>
      <c r="K180">
        <v>8112</v>
      </c>
      <c r="L180">
        <v>0</v>
      </c>
      <c r="M180">
        <v>70657</v>
      </c>
      <c r="N180">
        <v>0</v>
      </c>
      <c r="O180">
        <v>0</v>
      </c>
      <c r="P180">
        <v>33141</v>
      </c>
      <c r="Q180">
        <v>0</v>
      </c>
      <c r="R180">
        <v>0</v>
      </c>
      <c r="S180">
        <f t="shared" si="2"/>
        <v>33141</v>
      </c>
      <c r="T180">
        <v>0</v>
      </c>
      <c r="U180">
        <v>0</v>
      </c>
      <c r="V180">
        <v>0</v>
      </c>
      <c r="W180">
        <v>111910</v>
      </c>
    </row>
    <row r="181" spans="1:23" ht="12.75">
      <c r="A181" t="s">
        <v>2005</v>
      </c>
      <c r="B181" t="s">
        <v>2006</v>
      </c>
      <c r="C181" t="s">
        <v>1589</v>
      </c>
      <c r="D181" t="s">
        <v>2007</v>
      </c>
      <c r="F181" t="s">
        <v>1592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193992</v>
      </c>
      <c r="N181">
        <v>0</v>
      </c>
      <c r="O181">
        <v>0</v>
      </c>
      <c r="P181">
        <v>0</v>
      </c>
      <c r="Q181">
        <v>0</v>
      </c>
      <c r="R181">
        <v>0</v>
      </c>
      <c r="S181">
        <f t="shared" si="2"/>
        <v>0</v>
      </c>
      <c r="T181">
        <v>0</v>
      </c>
      <c r="U181">
        <v>0</v>
      </c>
      <c r="V181">
        <v>0</v>
      </c>
      <c r="W181">
        <v>193992</v>
      </c>
    </row>
    <row r="182" spans="1:23" ht="12.75">
      <c r="A182" t="s">
        <v>2008</v>
      </c>
      <c r="B182" t="s">
        <v>2009</v>
      </c>
      <c r="C182" t="s">
        <v>1589</v>
      </c>
      <c r="D182" t="s">
        <v>2010</v>
      </c>
      <c r="F182" t="s">
        <v>1592</v>
      </c>
      <c r="G182">
        <v>0</v>
      </c>
      <c r="H182">
        <v>0</v>
      </c>
      <c r="I182">
        <v>0</v>
      </c>
      <c r="J182">
        <v>1</v>
      </c>
      <c r="K182">
        <v>41604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f t="shared" si="2"/>
        <v>0</v>
      </c>
      <c r="T182">
        <v>0</v>
      </c>
      <c r="U182">
        <v>0</v>
      </c>
      <c r="V182">
        <v>0</v>
      </c>
      <c r="W182">
        <v>41604</v>
      </c>
    </row>
    <row r="183" spans="1:23" ht="12.75">
      <c r="A183" t="s">
        <v>2011</v>
      </c>
      <c r="B183" t="s">
        <v>2012</v>
      </c>
      <c r="C183" t="s">
        <v>1589</v>
      </c>
      <c r="D183" t="s">
        <v>2013</v>
      </c>
      <c r="F183" t="s">
        <v>1592</v>
      </c>
      <c r="G183">
        <v>0</v>
      </c>
      <c r="H183">
        <v>0</v>
      </c>
      <c r="I183">
        <v>4.5</v>
      </c>
      <c r="J183">
        <v>0</v>
      </c>
      <c r="K183">
        <v>133416</v>
      </c>
      <c r="L183">
        <v>0</v>
      </c>
      <c r="M183">
        <v>0</v>
      </c>
      <c r="N183">
        <v>0</v>
      </c>
      <c r="O183">
        <v>0</v>
      </c>
      <c r="P183">
        <v>87946</v>
      </c>
      <c r="Q183">
        <v>0</v>
      </c>
      <c r="R183">
        <v>0</v>
      </c>
      <c r="S183">
        <f t="shared" si="2"/>
        <v>87946</v>
      </c>
      <c r="T183">
        <v>0</v>
      </c>
      <c r="U183">
        <v>0</v>
      </c>
      <c r="V183">
        <v>0</v>
      </c>
      <c r="W183">
        <v>221362</v>
      </c>
    </row>
    <row r="184" spans="1:23" ht="12.75">
      <c r="A184" t="s">
        <v>2014</v>
      </c>
      <c r="B184" t="s">
        <v>2015</v>
      </c>
      <c r="C184" t="s">
        <v>1589</v>
      </c>
      <c r="D184" t="s">
        <v>2016</v>
      </c>
      <c r="F184" t="s">
        <v>1592</v>
      </c>
      <c r="G184">
        <v>0</v>
      </c>
      <c r="H184">
        <v>1</v>
      </c>
      <c r="I184">
        <v>3.43</v>
      </c>
      <c r="J184">
        <v>0</v>
      </c>
      <c r="K184">
        <v>111748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f t="shared" si="2"/>
        <v>0</v>
      </c>
      <c r="T184">
        <v>0</v>
      </c>
      <c r="U184">
        <v>0</v>
      </c>
      <c r="V184">
        <v>0</v>
      </c>
      <c r="W184">
        <v>111748</v>
      </c>
    </row>
    <row r="185" spans="1:23" ht="12.75">
      <c r="A185" t="s">
        <v>2017</v>
      </c>
      <c r="B185" t="s">
        <v>2018</v>
      </c>
      <c r="C185" t="s">
        <v>1589</v>
      </c>
      <c r="D185" t="s">
        <v>2019</v>
      </c>
      <c r="F185" t="s">
        <v>1592</v>
      </c>
      <c r="G185">
        <v>0.921</v>
      </c>
      <c r="H185">
        <v>5</v>
      </c>
      <c r="I185">
        <v>22</v>
      </c>
      <c r="J185">
        <v>20.755</v>
      </c>
      <c r="K185">
        <v>1844343</v>
      </c>
      <c r="L185">
        <v>0</v>
      </c>
      <c r="M185">
        <v>103399</v>
      </c>
      <c r="N185">
        <v>0</v>
      </c>
      <c r="O185">
        <v>0</v>
      </c>
      <c r="P185">
        <v>319155</v>
      </c>
      <c r="Q185">
        <v>0</v>
      </c>
      <c r="R185">
        <v>0</v>
      </c>
      <c r="S185">
        <f t="shared" si="2"/>
        <v>319155</v>
      </c>
      <c r="T185">
        <v>0</v>
      </c>
      <c r="U185">
        <v>0</v>
      </c>
      <c r="V185">
        <v>76853</v>
      </c>
      <c r="W185">
        <v>2343750</v>
      </c>
    </row>
    <row r="186" spans="1:23" ht="12.75">
      <c r="A186" t="s">
        <v>2020</v>
      </c>
      <c r="B186" t="s">
        <v>2021</v>
      </c>
      <c r="C186" t="s">
        <v>1589</v>
      </c>
      <c r="D186" t="s">
        <v>2022</v>
      </c>
      <c r="F186" t="s">
        <v>1592</v>
      </c>
      <c r="G186">
        <v>0.983</v>
      </c>
      <c r="H186">
        <v>5.475</v>
      </c>
      <c r="I186">
        <v>20</v>
      </c>
      <c r="J186">
        <v>13.822000000000001</v>
      </c>
      <c r="K186">
        <v>1531392</v>
      </c>
      <c r="L186">
        <v>0</v>
      </c>
      <c r="M186">
        <v>35215</v>
      </c>
      <c r="N186">
        <v>0</v>
      </c>
      <c r="O186">
        <v>0</v>
      </c>
      <c r="P186">
        <v>242515</v>
      </c>
      <c r="Q186">
        <v>0</v>
      </c>
      <c r="R186">
        <v>0</v>
      </c>
      <c r="S186">
        <f t="shared" si="2"/>
        <v>242515</v>
      </c>
      <c r="T186">
        <v>0</v>
      </c>
      <c r="U186">
        <v>0</v>
      </c>
      <c r="V186">
        <v>123522</v>
      </c>
      <c r="W186">
        <v>1932644</v>
      </c>
    </row>
    <row r="187" spans="1:23" ht="12.75">
      <c r="A187" t="s">
        <v>2023</v>
      </c>
      <c r="B187" t="s">
        <v>2024</v>
      </c>
      <c r="C187" t="s">
        <v>1589</v>
      </c>
      <c r="D187" t="s">
        <v>2025</v>
      </c>
      <c r="F187" t="s">
        <v>1592</v>
      </c>
      <c r="G187">
        <v>0</v>
      </c>
      <c r="H187">
        <v>0</v>
      </c>
      <c r="I187">
        <v>1</v>
      </c>
      <c r="J187">
        <v>0</v>
      </c>
      <c r="K187">
        <v>29676</v>
      </c>
      <c r="L187">
        <v>0</v>
      </c>
      <c r="M187">
        <v>65020</v>
      </c>
      <c r="N187">
        <v>0</v>
      </c>
      <c r="O187">
        <v>0</v>
      </c>
      <c r="P187">
        <v>83825</v>
      </c>
      <c r="Q187">
        <v>0</v>
      </c>
      <c r="R187">
        <v>0</v>
      </c>
      <c r="S187">
        <f t="shared" si="2"/>
        <v>83825</v>
      </c>
      <c r="T187">
        <v>0</v>
      </c>
      <c r="U187">
        <v>0</v>
      </c>
      <c r="V187">
        <v>2000</v>
      </c>
      <c r="W187">
        <v>180521</v>
      </c>
    </row>
    <row r="188" spans="1:23" ht="12.75">
      <c r="A188" t="s">
        <v>2026</v>
      </c>
      <c r="B188" t="s">
        <v>2027</v>
      </c>
      <c r="C188" t="s">
        <v>1589</v>
      </c>
      <c r="D188" t="s">
        <v>2028</v>
      </c>
      <c r="F188" t="s">
        <v>1592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537388</v>
      </c>
      <c r="O188">
        <v>0</v>
      </c>
      <c r="P188">
        <v>24966</v>
      </c>
      <c r="Q188">
        <v>0</v>
      </c>
      <c r="R188">
        <v>0</v>
      </c>
      <c r="S188">
        <f t="shared" si="2"/>
        <v>24966</v>
      </c>
      <c r="T188">
        <v>0</v>
      </c>
      <c r="U188">
        <v>0</v>
      </c>
      <c r="V188">
        <v>0</v>
      </c>
      <c r="W188">
        <v>562354</v>
      </c>
    </row>
    <row r="189" spans="1:23" ht="12.75">
      <c r="A189" t="s">
        <v>2466</v>
      </c>
      <c r="B189" t="s">
        <v>2467</v>
      </c>
      <c r="C189" t="s">
        <v>1589</v>
      </c>
      <c r="D189" t="s">
        <v>2468</v>
      </c>
      <c r="F189" t="s">
        <v>1592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1177238</v>
      </c>
      <c r="P189">
        <v>0</v>
      </c>
      <c r="Q189">
        <v>0</v>
      </c>
      <c r="R189">
        <v>0</v>
      </c>
      <c r="S189">
        <f t="shared" si="2"/>
        <v>0</v>
      </c>
      <c r="T189">
        <v>0</v>
      </c>
      <c r="U189">
        <v>0</v>
      </c>
      <c r="V189">
        <v>0</v>
      </c>
      <c r="W189">
        <v>1177238</v>
      </c>
    </row>
    <row r="190" spans="1:23" ht="12.75">
      <c r="A190" t="s">
        <v>2469</v>
      </c>
      <c r="B190" t="s">
        <v>2470</v>
      </c>
      <c r="C190" t="s">
        <v>1589</v>
      </c>
      <c r="D190" t="s">
        <v>2471</v>
      </c>
      <c r="F190" t="s">
        <v>1592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32508</v>
      </c>
      <c r="P190">
        <v>0</v>
      </c>
      <c r="Q190">
        <v>0</v>
      </c>
      <c r="R190">
        <v>0</v>
      </c>
      <c r="S190">
        <f t="shared" si="2"/>
        <v>0</v>
      </c>
      <c r="T190">
        <v>0</v>
      </c>
      <c r="U190">
        <v>0</v>
      </c>
      <c r="V190">
        <v>0</v>
      </c>
      <c r="W190">
        <v>32508</v>
      </c>
    </row>
    <row r="191" spans="1:23" ht="12.75">
      <c r="A191" t="s">
        <v>2472</v>
      </c>
      <c r="B191" t="s">
        <v>2473</v>
      </c>
      <c r="C191" t="s">
        <v>1589</v>
      </c>
      <c r="D191" t="s">
        <v>2474</v>
      </c>
      <c r="F191" t="s">
        <v>1592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56583</v>
      </c>
      <c r="M191">
        <v>0</v>
      </c>
      <c r="N191">
        <v>0</v>
      </c>
      <c r="O191">
        <v>4500</v>
      </c>
      <c r="P191">
        <v>0</v>
      </c>
      <c r="Q191">
        <v>0</v>
      </c>
      <c r="R191">
        <v>0</v>
      </c>
      <c r="S191">
        <f t="shared" si="2"/>
        <v>0</v>
      </c>
      <c r="T191">
        <v>0</v>
      </c>
      <c r="U191">
        <v>0</v>
      </c>
      <c r="V191">
        <v>0</v>
      </c>
      <c r="W191">
        <v>61083</v>
      </c>
    </row>
    <row r="192" spans="1:23" ht="12.75">
      <c r="A192" t="s">
        <v>2475</v>
      </c>
      <c r="B192" t="s">
        <v>2476</v>
      </c>
      <c r="C192" t="s">
        <v>1589</v>
      </c>
      <c r="D192" t="s">
        <v>2477</v>
      </c>
      <c r="F192" t="s">
        <v>1592</v>
      </c>
      <c r="G192">
        <v>0</v>
      </c>
      <c r="H192">
        <v>0</v>
      </c>
      <c r="I192">
        <v>2</v>
      </c>
      <c r="J192">
        <v>0</v>
      </c>
      <c r="K192">
        <v>46380</v>
      </c>
      <c r="L192">
        <v>0</v>
      </c>
      <c r="M192">
        <v>0</v>
      </c>
      <c r="N192">
        <v>0</v>
      </c>
      <c r="O192">
        <v>0</v>
      </c>
      <c r="P192">
        <v>15454</v>
      </c>
      <c r="Q192">
        <v>0</v>
      </c>
      <c r="R192">
        <v>0</v>
      </c>
      <c r="S192">
        <f t="shared" si="2"/>
        <v>15454</v>
      </c>
      <c r="T192">
        <v>0</v>
      </c>
      <c r="U192">
        <v>0</v>
      </c>
      <c r="V192">
        <v>0</v>
      </c>
      <c r="W192">
        <v>61834</v>
      </c>
    </row>
    <row r="193" spans="1:23" ht="12.75">
      <c r="A193" t="s">
        <v>2478</v>
      </c>
      <c r="B193" t="s">
        <v>2479</v>
      </c>
      <c r="C193" t="s">
        <v>1589</v>
      </c>
      <c r="D193" t="s">
        <v>2480</v>
      </c>
      <c r="F193" t="s">
        <v>1592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4950</v>
      </c>
      <c r="Q193">
        <v>0</v>
      </c>
      <c r="R193">
        <v>0</v>
      </c>
      <c r="S193">
        <f t="shared" si="2"/>
        <v>4950</v>
      </c>
      <c r="T193">
        <v>0</v>
      </c>
      <c r="U193">
        <v>0</v>
      </c>
      <c r="V193">
        <v>0</v>
      </c>
      <c r="W193">
        <v>4950</v>
      </c>
    </row>
    <row r="194" spans="1:23" ht="12.75">
      <c r="A194" t="s">
        <v>2481</v>
      </c>
      <c r="B194" t="s">
        <v>2482</v>
      </c>
      <c r="C194" t="s">
        <v>1589</v>
      </c>
      <c r="D194" t="s">
        <v>2483</v>
      </c>
      <c r="F194" t="s">
        <v>1592</v>
      </c>
      <c r="G194">
        <v>0</v>
      </c>
      <c r="H194">
        <v>0</v>
      </c>
      <c r="I194">
        <v>8.922</v>
      </c>
      <c r="J194">
        <v>0</v>
      </c>
      <c r="K194">
        <v>250308</v>
      </c>
      <c r="L194">
        <v>0</v>
      </c>
      <c r="M194">
        <v>8793</v>
      </c>
      <c r="N194">
        <v>0</v>
      </c>
      <c r="O194">
        <v>0</v>
      </c>
      <c r="P194">
        <v>0</v>
      </c>
      <c r="Q194">
        <v>0</v>
      </c>
      <c r="R194">
        <v>0</v>
      </c>
      <c r="S194">
        <f t="shared" si="2"/>
        <v>0</v>
      </c>
      <c r="T194">
        <v>0</v>
      </c>
      <c r="U194">
        <v>0</v>
      </c>
      <c r="V194">
        <v>0</v>
      </c>
      <c r="W194">
        <v>259101</v>
      </c>
    </row>
    <row r="195" spans="1:23" ht="12.75">
      <c r="A195" t="s">
        <v>2484</v>
      </c>
      <c r="B195" t="s">
        <v>2485</v>
      </c>
      <c r="C195" t="s">
        <v>1589</v>
      </c>
      <c r="D195" t="s">
        <v>2486</v>
      </c>
      <c r="F195" t="s">
        <v>1592</v>
      </c>
      <c r="G195">
        <v>1.333</v>
      </c>
      <c r="H195">
        <v>0.333</v>
      </c>
      <c r="I195">
        <v>16.904000000000003</v>
      </c>
      <c r="J195">
        <v>37.338</v>
      </c>
      <c r="K195">
        <v>2016551</v>
      </c>
      <c r="L195">
        <v>0</v>
      </c>
      <c r="M195">
        <v>9549</v>
      </c>
      <c r="N195">
        <v>0</v>
      </c>
      <c r="O195">
        <v>0</v>
      </c>
      <c r="P195">
        <v>0</v>
      </c>
      <c r="Q195">
        <v>0</v>
      </c>
      <c r="R195">
        <v>0</v>
      </c>
      <c r="S195">
        <f t="shared" si="2"/>
        <v>0</v>
      </c>
      <c r="T195">
        <v>0</v>
      </c>
      <c r="U195">
        <v>0</v>
      </c>
      <c r="V195">
        <v>0</v>
      </c>
      <c r="W195">
        <v>2026100</v>
      </c>
    </row>
    <row r="196" spans="1:23" ht="12.75">
      <c r="A196" t="s">
        <v>2487</v>
      </c>
      <c r="B196" t="s">
        <v>2488</v>
      </c>
      <c r="C196" t="s">
        <v>1589</v>
      </c>
      <c r="D196" t="s">
        <v>2489</v>
      </c>
      <c r="F196" t="s">
        <v>1592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10999</v>
      </c>
      <c r="Q196">
        <v>0</v>
      </c>
      <c r="R196">
        <v>0</v>
      </c>
      <c r="S196">
        <f aca="true" t="shared" si="3" ref="S196:S259">SUM(P196:R196)</f>
        <v>10999</v>
      </c>
      <c r="T196">
        <v>0</v>
      </c>
      <c r="U196">
        <v>0</v>
      </c>
      <c r="V196">
        <v>0</v>
      </c>
      <c r="W196">
        <v>10999</v>
      </c>
    </row>
    <row r="197" spans="1:23" ht="12.75">
      <c r="A197" t="s">
        <v>2490</v>
      </c>
      <c r="B197" t="s">
        <v>2491</v>
      </c>
      <c r="C197" t="s">
        <v>1589</v>
      </c>
      <c r="D197" t="s">
        <v>2492</v>
      </c>
      <c r="F197" t="s">
        <v>1592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11672</v>
      </c>
      <c r="Q197">
        <v>0</v>
      </c>
      <c r="R197">
        <v>0</v>
      </c>
      <c r="S197">
        <f t="shared" si="3"/>
        <v>11672</v>
      </c>
      <c r="T197">
        <v>0</v>
      </c>
      <c r="U197">
        <v>0</v>
      </c>
      <c r="V197">
        <v>0</v>
      </c>
      <c r="W197">
        <v>11672</v>
      </c>
    </row>
    <row r="198" spans="1:23" ht="12.75">
      <c r="A198" t="s">
        <v>2493</v>
      </c>
      <c r="B198" t="s">
        <v>2494</v>
      </c>
      <c r="C198" t="s">
        <v>1589</v>
      </c>
      <c r="D198" t="s">
        <v>2495</v>
      </c>
      <c r="F198" t="s">
        <v>1592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8336</v>
      </c>
      <c r="Q198">
        <v>0</v>
      </c>
      <c r="R198">
        <v>0</v>
      </c>
      <c r="S198">
        <f t="shared" si="3"/>
        <v>8336</v>
      </c>
      <c r="T198">
        <v>0</v>
      </c>
      <c r="U198">
        <v>0</v>
      </c>
      <c r="V198">
        <v>0</v>
      </c>
      <c r="W198">
        <v>8336</v>
      </c>
    </row>
    <row r="199" spans="1:23" ht="12.75">
      <c r="A199" t="s">
        <v>2496</v>
      </c>
      <c r="B199" t="s">
        <v>2497</v>
      </c>
      <c r="C199" t="s">
        <v>1589</v>
      </c>
      <c r="D199" t="s">
        <v>2498</v>
      </c>
      <c r="F199" t="s">
        <v>1592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1336</v>
      </c>
      <c r="Q199">
        <v>0</v>
      </c>
      <c r="R199">
        <v>0</v>
      </c>
      <c r="S199">
        <f t="shared" si="3"/>
        <v>1336</v>
      </c>
      <c r="T199">
        <v>0</v>
      </c>
      <c r="U199">
        <v>0</v>
      </c>
      <c r="V199">
        <v>0</v>
      </c>
      <c r="W199">
        <v>1336</v>
      </c>
    </row>
    <row r="200" spans="1:23" ht="12.75">
      <c r="A200" t="s">
        <v>2499</v>
      </c>
      <c r="B200" t="s">
        <v>2500</v>
      </c>
      <c r="C200" t="s">
        <v>1589</v>
      </c>
      <c r="D200" t="s">
        <v>2501</v>
      </c>
      <c r="F200" t="s">
        <v>1592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13340</v>
      </c>
      <c r="Q200">
        <v>0</v>
      </c>
      <c r="R200">
        <v>0</v>
      </c>
      <c r="S200">
        <f t="shared" si="3"/>
        <v>13340</v>
      </c>
      <c r="T200">
        <v>0</v>
      </c>
      <c r="U200">
        <v>0</v>
      </c>
      <c r="V200">
        <v>0</v>
      </c>
      <c r="W200">
        <v>13340</v>
      </c>
    </row>
    <row r="201" spans="1:23" ht="12.75">
      <c r="A201" t="s">
        <v>2502</v>
      </c>
      <c r="B201" t="s">
        <v>2503</v>
      </c>
      <c r="C201" t="s">
        <v>1589</v>
      </c>
      <c r="D201" t="s">
        <v>2504</v>
      </c>
      <c r="F201" t="s">
        <v>1592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8672</v>
      </c>
      <c r="Q201">
        <v>0</v>
      </c>
      <c r="R201">
        <v>0</v>
      </c>
      <c r="S201">
        <f t="shared" si="3"/>
        <v>8672</v>
      </c>
      <c r="T201">
        <v>0</v>
      </c>
      <c r="U201">
        <v>0</v>
      </c>
      <c r="V201">
        <v>0</v>
      </c>
      <c r="W201">
        <v>8672</v>
      </c>
    </row>
    <row r="202" spans="1:23" ht="12.75">
      <c r="A202" t="s">
        <v>2505</v>
      </c>
      <c r="B202" t="s">
        <v>2506</v>
      </c>
      <c r="C202" t="s">
        <v>1589</v>
      </c>
      <c r="D202" t="s">
        <v>2507</v>
      </c>
      <c r="F202" t="s">
        <v>1592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29302</v>
      </c>
      <c r="Q202">
        <v>0</v>
      </c>
      <c r="R202">
        <v>0</v>
      </c>
      <c r="S202">
        <f t="shared" si="3"/>
        <v>29302</v>
      </c>
      <c r="T202">
        <v>0</v>
      </c>
      <c r="U202">
        <v>0</v>
      </c>
      <c r="V202">
        <v>0</v>
      </c>
      <c r="W202">
        <v>29302</v>
      </c>
    </row>
    <row r="203" spans="1:23" ht="12.75">
      <c r="A203" t="s">
        <v>2508</v>
      </c>
      <c r="B203" t="s">
        <v>2509</v>
      </c>
      <c r="C203" t="s">
        <v>1589</v>
      </c>
      <c r="D203" t="s">
        <v>2510</v>
      </c>
      <c r="F203" t="s">
        <v>1592</v>
      </c>
      <c r="G203">
        <v>0</v>
      </c>
      <c r="H203">
        <v>2.75</v>
      </c>
      <c r="I203">
        <v>1.617</v>
      </c>
      <c r="J203">
        <v>1.5</v>
      </c>
      <c r="K203">
        <v>248202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f t="shared" si="3"/>
        <v>0</v>
      </c>
      <c r="T203">
        <v>0</v>
      </c>
      <c r="U203">
        <v>0</v>
      </c>
      <c r="V203">
        <v>0</v>
      </c>
      <c r="W203">
        <v>248202</v>
      </c>
    </row>
    <row r="204" spans="1:23" ht="12.75">
      <c r="A204" t="s">
        <v>2511</v>
      </c>
      <c r="B204" t="s">
        <v>2512</v>
      </c>
      <c r="C204" t="s">
        <v>1589</v>
      </c>
      <c r="D204" t="s">
        <v>2513</v>
      </c>
      <c r="F204" t="s">
        <v>1592</v>
      </c>
      <c r="G204">
        <v>0</v>
      </c>
      <c r="H204">
        <v>2.917</v>
      </c>
      <c r="I204">
        <v>0.167</v>
      </c>
      <c r="J204">
        <v>0</v>
      </c>
      <c r="K204">
        <v>171212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f t="shared" si="3"/>
        <v>0</v>
      </c>
      <c r="T204">
        <v>0</v>
      </c>
      <c r="U204">
        <v>0</v>
      </c>
      <c r="V204">
        <v>0</v>
      </c>
      <c r="W204">
        <v>171212</v>
      </c>
    </row>
    <row r="205" spans="1:23" ht="12.75">
      <c r="A205" t="s">
        <v>2514</v>
      </c>
      <c r="B205" t="s">
        <v>2515</v>
      </c>
      <c r="C205" t="s">
        <v>1589</v>
      </c>
      <c r="D205" t="s">
        <v>2516</v>
      </c>
      <c r="F205" t="s">
        <v>1592</v>
      </c>
      <c r="G205">
        <v>0</v>
      </c>
      <c r="H205">
        <v>2.083</v>
      </c>
      <c r="I205">
        <v>0.75</v>
      </c>
      <c r="J205">
        <v>2</v>
      </c>
      <c r="K205">
        <v>224673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f t="shared" si="3"/>
        <v>0</v>
      </c>
      <c r="T205">
        <v>0</v>
      </c>
      <c r="U205">
        <v>0</v>
      </c>
      <c r="V205">
        <v>0</v>
      </c>
      <c r="W205">
        <v>224673</v>
      </c>
    </row>
    <row r="206" spans="1:23" ht="12.75">
      <c r="A206" t="s">
        <v>2517</v>
      </c>
      <c r="B206" t="s">
        <v>2497</v>
      </c>
      <c r="C206" t="s">
        <v>1589</v>
      </c>
      <c r="D206" t="s">
        <v>2518</v>
      </c>
      <c r="F206" t="s">
        <v>1592</v>
      </c>
      <c r="G206">
        <v>0</v>
      </c>
      <c r="H206">
        <v>0.667</v>
      </c>
      <c r="I206">
        <v>0</v>
      </c>
      <c r="J206">
        <v>0</v>
      </c>
      <c r="K206">
        <v>61672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f t="shared" si="3"/>
        <v>0</v>
      </c>
      <c r="T206">
        <v>0</v>
      </c>
      <c r="U206">
        <v>0</v>
      </c>
      <c r="V206">
        <v>0</v>
      </c>
      <c r="W206">
        <v>61672</v>
      </c>
    </row>
    <row r="207" spans="1:23" ht="12.75">
      <c r="A207" t="s">
        <v>2519</v>
      </c>
      <c r="B207" t="s">
        <v>2520</v>
      </c>
      <c r="C207" t="s">
        <v>1589</v>
      </c>
      <c r="D207" t="s">
        <v>2521</v>
      </c>
      <c r="F207" t="s">
        <v>1592</v>
      </c>
      <c r="G207">
        <v>0</v>
      </c>
      <c r="H207">
        <v>3.541</v>
      </c>
      <c r="I207">
        <v>1.5670000000000002</v>
      </c>
      <c r="J207">
        <v>1.75</v>
      </c>
      <c r="K207">
        <v>345561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f t="shared" si="3"/>
        <v>0</v>
      </c>
      <c r="T207">
        <v>0</v>
      </c>
      <c r="U207">
        <v>0</v>
      </c>
      <c r="V207">
        <v>0</v>
      </c>
      <c r="W207">
        <v>345561</v>
      </c>
    </row>
    <row r="208" spans="1:23" ht="12.75">
      <c r="A208" t="s">
        <v>2522</v>
      </c>
      <c r="B208" t="s">
        <v>2523</v>
      </c>
      <c r="C208" t="s">
        <v>1589</v>
      </c>
      <c r="D208" t="s">
        <v>2524</v>
      </c>
      <c r="F208" t="s">
        <v>1592</v>
      </c>
      <c r="G208">
        <v>0.333</v>
      </c>
      <c r="H208">
        <v>1.833</v>
      </c>
      <c r="I208">
        <v>2.0829999999999997</v>
      </c>
      <c r="J208">
        <v>1.943</v>
      </c>
      <c r="K208">
        <v>250319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f t="shared" si="3"/>
        <v>0</v>
      </c>
      <c r="T208">
        <v>0</v>
      </c>
      <c r="U208">
        <v>0</v>
      </c>
      <c r="V208">
        <v>0</v>
      </c>
      <c r="W208">
        <v>250319</v>
      </c>
    </row>
    <row r="209" spans="1:23" ht="12.75">
      <c r="A209" t="s">
        <v>2525</v>
      </c>
      <c r="B209" t="s">
        <v>2526</v>
      </c>
      <c r="C209" t="s">
        <v>2527</v>
      </c>
      <c r="D209" t="s">
        <v>2528</v>
      </c>
      <c r="E209" t="s">
        <v>2529</v>
      </c>
      <c r="F209" t="s">
        <v>1592</v>
      </c>
      <c r="G209">
        <v>0</v>
      </c>
      <c r="H209">
        <v>0</v>
      </c>
      <c r="I209">
        <v>6.107</v>
      </c>
      <c r="J209">
        <v>13.536999999999999</v>
      </c>
      <c r="K209">
        <v>695153</v>
      </c>
      <c r="L209">
        <v>0</v>
      </c>
      <c r="M209">
        <v>46690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f t="shared" si="3"/>
        <v>0</v>
      </c>
      <c r="T209">
        <v>0</v>
      </c>
      <c r="U209">
        <v>0</v>
      </c>
      <c r="V209">
        <v>0</v>
      </c>
      <c r="W209">
        <v>741843</v>
      </c>
    </row>
    <row r="210" spans="1:23" ht="12.75">
      <c r="A210" t="s">
        <v>2530</v>
      </c>
      <c r="B210" t="s">
        <v>2531</v>
      </c>
      <c r="C210" t="s">
        <v>2527</v>
      </c>
      <c r="D210" t="s">
        <v>2532</v>
      </c>
      <c r="E210" t="s">
        <v>2533</v>
      </c>
      <c r="F210" t="s">
        <v>1592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3015</v>
      </c>
      <c r="Q210">
        <v>0</v>
      </c>
      <c r="R210">
        <v>0</v>
      </c>
      <c r="S210">
        <f t="shared" si="3"/>
        <v>3015</v>
      </c>
      <c r="T210">
        <v>0</v>
      </c>
      <c r="U210">
        <v>0</v>
      </c>
      <c r="V210">
        <v>0</v>
      </c>
      <c r="W210">
        <v>3015</v>
      </c>
    </row>
    <row r="211" spans="1:23" ht="12.75">
      <c r="A211" t="s">
        <v>2534</v>
      </c>
      <c r="B211" t="s">
        <v>2535</v>
      </c>
      <c r="C211" t="s">
        <v>2536</v>
      </c>
      <c r="D211" t="s">
        <v>2537</v>
      </c>
      <c r="E211" t="s">
        <v>2538</v>
      </c>
      <c r="F211" t="s">
        <v>1592</v>
      </c>
      <c r="G211">
        <v>0</v>
      </c>
      <c r="H211">
        <v>0</v>
      </c>
      <c r="I211">
        <v>2.175</v>
      </c>
      <c r="J211">
        <v>4.6739999999999995</v>
      </c>
      <c r="K211">
        <v>238662</v>
      </c>
      <c r="L211">
        <v>0</v>
      </c>
      <c r="M211">
        <v>5608</v>
      </c>
      <c r="N211">
        <v>0</v>
      </c>
      <c r="O211">
        <v>0</v>
      </c>
      <c r="P211">
        <v>0</v>
      </c>
      <c r="Q211">
        <v>0</v>
      </c>
      <c r="R211">
        <v>0</v>
      </c>
      <c r="S211">
        <f t="shared" si="3"/>
        <v>0</v>
      </c>
      <c r="T211">
        <v>0</v>
      </c>
      <c r="U211">
        <v>0</v>
      </c>
      <c r="V211">
        <v>0</v>
      </c>
      <c r="W211">
        <v>244270</v>
      </c>
    </row>
    <row r="212" spans="1:23" ht="12.75">
      <c r="A212" t="s">
        <v>2539</v>
      </c>
      <c r="B212" t="s">
        <v>2542</v>
      </c>
      <c r="C212" t="s">
        <v>2536</v>
      </c>
      <c r="D212" t="s">
        <v>2543</v>
      </c>
      <c r="E212" t="s">
        <v>2544</v>
      </c>
      <c r="F212" t="s">
        <v>1592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681</v>
      </c>
      <c r="Q212">
        <v>0</v>
      </c>
      <c r="R212">
        <v>0</v>
      </c>
      <c r="S212">
        <f t="shared" si="3"/>
        <v>681</v>
      </c>
      <c r="T212">
        <v>0</v>
      </c>
      <c r="U212">
        <v>0</v>
      </c>
      <c r="V212">
        <v>0</v>
      </c>
      <c r="W212">
        <v>681</v>
      </c>
    </row>
    <row r="213" spans="1:23" ht="12.75">
      <c r="A213" t="s">
        <v>2545</v>
      </c>
      <c r="B213" t="s">
        <v>2546</v>
      </c>
      <c r="C213" t="s">
        <v>2527</v>
      </c>
      <c r="D213" t="s">
        <v>2547</v>
      </c>
      <c r="E213" t="s">
        <v>2548</v>
      </c>
      <c r="F213" t="s">
        <v>1592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86000</v>
      </c>
      <c r="P213">
        <v>0</v>
      </c>
      <c r="Q213">
        <v>0</v>
      </c>
      <c r="R213">
        <v>0</v>
      </c>
      <c r="S213">
        <f t="shared" si="3"/>
        <v>0</v>
      </c>
      <c r="T213">
        <v>0</v>
      </c>
      <c r="U213">
        <v>0</v>
      </c>
      <c r="V213">
        <v>0</v>
      </c>
      <c r="W213">
        <v>86000</v>
      </c>
    </row>
    <row r="214" spans="1:23" ht="12.75">
      <c r="A214" t="s">
        <v>2549</v>
      </c>
      <c r="B214" t="s">
        <v>2550</v>
      </c>
      <c r="C214" t="s">
        <v>2536</v>
      </c>
      <c r="D214" t="s">
        <v>2551</v>
      </c>
      <c r="E214" t="s">
        <v>2552</v>
      </c>
      <c r="F214" t="s">
        <v>1592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32000</v>
      </c>
      <c r="P214">
        <v>0</v>
      </c>
      <c r="Q214">
        <v>0</v>
      </c>
      <c r="R214">
        <v>0</v>
      </c>
      <c r="S214">
        <f t="shared" si="3"/>
        <v>0</v>
      </c>
      <c r="T214">
        <v>0</v>
      </c>
      <c r="U214">
        <v>0</v>
      </c>
      <c r="V214">
        <v>0</v>
      </c>
      <c r="W214">
        <v>32000</v>
      </c>
    </row>
    <row r="215" spans="1:23" ht="12.75">
      <c r="A215" t="s">
        <v>2688</v>
      </c>
      <c r="B215" t="s">
        <v>2689</v>
      </c>
      <c r="C215" t="s">
        <v>2690</v>
      </c>
      <c r="D215" t="s">
        <v>2691</v>
      </c>
      <c r="F215" t="s">
        <v>1592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651169</v>
      </c>
      <c r="P215">
        <v>0</v>
      </c>
      <c r="Q215">
        <v>0</v>
      </c>
      <c r="R215">
        <v>0</v>
      </c>
      <c r="S215">
        <f t="shared" si="3"/>
        <v>0</v>
      </c>
      <c r="T215">
        <v>0</v>
      </c>
      <c r="U215">
        <v>0</v>
      </c>
      <c r="V215">
        <v>0</v>
      </c>
      <c r="W215">
        <v>651169</v>
      </c>
    </row>
    <row r="216" spans="1:23" ht="12.75">
      <c r="A216" t="s">
        <v>2692</v>
      </c>
      <c r="B216" t="s">
        <v>2693</v>
      </c>
      <c r="C216" t="s">
        <v>2690</v>
      </c>
      <c r="D216" t="s">
        <v>2694</v>
      </c>
      <c r="F216" t="s">
        <v>1592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855</v>
      </c>
      <c r="P216">
        <v>0</v>
      </c>
      <c r="Q216">
        <v>0</v>
      </c>
      <c r="R216">
        <v>0</v>
      </c>
      <c r="S216">
        <f t="shared" si="3"/>
        <v>0</v>
      </c>
      <c r="T216">
        <v>0</v>
      </c>
      <c r="U216">
        <v>0</v>
      </c>
      <c r="V216">
        <v>0</v>
      </c>
      <c r="W216">
        <v>855</v>
      </c>
    </row>
    <row r="217" spans="1:23" ht="12.75">
      <c r="A217" t="s">
        <v>2695</v>
      </c>
      <c r="B217" t="s">
        <v>2696</v>
      </c>
      <c r="C217" t="s">
        <v>2690</v>
      </c>
      <c r="D217" t="s">
        <v>2697</v>
      </c>
      <c r="F217" t="s">
        <v>1592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4162</v>
      </c>
      <c r="M217">
        <v>0</v>
      </c>
      <c r="N217">
        <v>0</v>
      </c>
      <c r="O217">
        <v>2500</v>
      </c>
      <c r="P217">
        <v>0</v>
      </c>
      <c r="Q217">
        <v>0</v>
      </c>
      <c r="R217">
        <v>0</v>
      </c>
      <c r="S217">
        <f t="shared" si="3"/>
        <v>0</v>
      </c>
      <c r="T217">
        <v>0</v>
      </c>
      <c r="U217">
        <v>0</v>
      </c>
      <c r="V217">
        <v>0</v>
      </c>
      <c r="W217">
        <v>6662</v>
      </c>
    </row>
    <row r="218" spans="1:23" ht="12.75">
      <c r="A218" t="s">
        <v>2699</v>
      </c>
      <c r="B218" t="s">
        <v>2700</v>
      </c>
      <c r="C218" t="s">
        <v>2690</v>
      </c>
      <c r="D218" t="s">
        <v>2701</v>
      </c>
      <c r="F218" t="s">
        <v>1592</v>
      </c>
      <c r="G218">
        <v>1</v>
      </c>
      <c r="H218">
        <v>0</v>
      </c>
      <c r="I218">
        <v>2</v>
      </c>
      <c r="J218">
        <v>3.34</v>
      </c>
      <c r="K218">
        <v>363228</v>
      </c>
      <c r="L218">
        <v>0</v>
      </c>
      <c r="M218">
        <v>0</v>
      </c>
      <c r="N218">
        <v>0</v>
      </c>
      <c r="O218">
        <v>0</v>
      </c>
      <c r="P218">
        <v>100000</v>
      </c>
      <c r="Q218">
        <v>0</v>
      </c>
      <c r="R218">
        <v>0</v>
      </c>
      <c r="S218">
        <f t="shared" si="3"/>
        <v>100000</v>
      </c>
      <c r="T218">
        <v>0</v>
      </c>
      <c r="U218">
        <v>0</v>
      </c>
      <c r="V218">
        <v>0</v>
      </c>
      <c r="W218">
        <v>463228</v>
      </c>
    </row>
    <row r="219" spans="1:23" ht="12.75">
      <c r="A219" t="s">
        <v>2702</v>
      </c>
      <c r="B219" t="s">
        <v>2703</v>
      </c>
      <c r="C219" t="s">
        <v>2690</v>
      </c>
      <c r="D219" t="s">
        <v>2704</v>
      </c>
      <c r="F219" t="s">
        <v>1592</v>
      </c>
      <c r="G219">
        <v>0</v>
      </c>
      <c r="H219">
        <v>0</v>
      </c>
      <c r="I219">
        <v>1</v>
      </c>
      <c r="J219">
        <v>3</v>
      </c>
      <c r="K219">
        <v>239556</v>
      </c>
      <c r="L219">
        <v>0</v>
      </c>
      <c r="M219">
        <v>0</v>
      </c>
      <c r="N219">
        <v>0</v>
      </c>
      <c r="O219">
        <v>0</v>
      </c>
      <c r="P219">
        <v>134800</v>
      </c>
      <c r="Q219">
        <v>0</v>
      </c>
      <c r="R219">
        <v>0</v>
      </c>
      <c r="S219">
        <f t="shared" si="3"/>
        <v>134800</v>
      </c>
      <c r="T219">
        <v>155506</v>
      </c>
      <c r="U219">
        <v>0</v>
      </c>
      <c r="V219">
        <v>146225</v>
      </c>
      <c r="W219">
        <v>676087</v>
      </c>
    </row>
    <row r="220" spans="1:23" ht="12.75">
      <c r="A220" t="s">
        <v>2705</v>
      </c>
      <c r="B220" t="s">
        <v>2706</v>
      </c>
      <c r="C220" t="s">
        <v>2690</v>
      </c>
      <c r="D220" t="s">
        <v>2707</v>
      </c>
      <c r="F220" t="s">
        <v>1592</v>
      </c>
      <c r="G220">
        <v>0</v>
      </c>
      <c r="H220">
        <v>0</v>
      </c>
      <c r="I220">
        <v>1.98</v>
      </c>
      <c r="J220">
        <v>0</v>
      </c>
      <c r="K220">
        <v>63876</v>
      </c>
      <c r="L220">
        <v>0</v>
      </c>
      <c r="M220">
        <v>2206</v>
      </c>
      <c r="N220">
        <v>0</v>
      </c>
      <c r="O220">
        <v>0</v>
      </c>
      <c r="P220">
        <v>0</v>
      </c>
      <c r="Q220">
        <v>0</v>
      </c>
      <c r="R220">
        <v>0</v>
      </c>
      <c r="S220">
        <f t="shared" si="3"/>
        <v>0</v>
      </c>
      <c r="T220">
        <v>0</v>
      </c>
      <c r="U220">
        <v>0</v>
      </c>
      <c r="V220">
        <v>0</v>
      </c>
      <c r="W220">
        <v>66082</v>
      </c>
    </row>
    <row r="221" spans="1:23" ht="12.75">
      <c r="A221" t="s">
        <v>2708</v>
      </c>
      <c r="B221" t="s">
        <v>2709</v>
      </c>
      <c r="C221" t="s">
        <v>2690</v>
      </c>
      <c r="D221" t="s">
        <v>2710</v>
      </c>
      <c r="F221" t="s">
        <v>1592</v>
      </c>
      <c r="G221">
        <v>0</v>
      </c>
      <c r="H221">
        <v>0</v>
      </c>
      <c r="I221">
        <v>1</v>
      </c>
      <c r="J221">
        <v>9.685</v>
      </c>
      <c r="K221">
        <v>538488</v>
      </c>
      <c r="L221">
        <v>1000</v>
      </c>
      <c r="M221">
        <v>0</v>
      </c>
      <c r="N221">
        <v>0</v>
      </c>
      <c r="O221">
        <v>0</v>
      </c>
      <c r="P221">
        <v>460400</v>
      </c>
      <c r="Q221">
        <v>0</v>
      </c>
      <c r="R221">
        <v>0</v>
      </c>
      <c r="S221">
        <f t="shared" si="3"/>
        <v>460400</v>
      </c>
      <c r="T221">
        <v>948312</v>
      </c>
      <c r="U221">
        <v>0</v>
      </c>
      <c r="V221">
        <v>281800</v>
      </c>
      <c r="W221">
        <v>2230000</v>
      </c>
    </row>
    <row r="222" spans="1:23" ht="12.75">
      <c r="A222" t="s">
        <v>2711</v>
      </c>
      <c r="B222" t="s">
        <v>2712</v>
      </c>
      <c r="C222" t="s">
        <v>2690</v>
      </c>
      <c r="D222" t="s">
        <v>2713</v>
      </c>
      <c r="F222" t="s">
        <v>1592</v>
      </c>
      <c r="G222">
        <v>0</v>
      </c>
      <c r="H222">
        <v>0</v>
      </c>
      <c r="I222">
        <v>0</v>
      </c>
      <c r="J222">
        <v>0.418</v>
      </c>
      <c r="K222">
        <v>16896</v>
      </c>
      <c r="L222">
        <v>0</v>
      </c>
      <c r="M222">
        <v>0</v>
      </c>
      <c r="N222">
        <v>0</v>
      </c>
      <c r="O222">
        <v>0</v>
      </c>
      <c r="P222">
        <v>9600</v>
      </c>
      <c r="Q222">
        <v>0</v>
      </c>
      <c r="R222">
        <v>0</v>
      </c>
      <c r="S222">
        <f t="shared" si="3"/>
        <v>9600</v>
      </c>
      <c r="T222">
        <v>48563</v>
      </c>
      <c r="U222">
        <v>0</v>
      </c>
      <c r="V222">
        <v>0</v>
      </c>
      <c r="W222">
        <v>75059</v>
      </c>
    </row>
    <row r="223" spans="1:23" ht="12.75">
      <c r="A223" t="s">
        <v>2714</v>
      </c>
      <c r="B223" t="s">
        <v>2715</v>
      </c>
      <c r="C223" t="s">
        <v>2690</v>
      </c>
      <c r="D223" t="s">
        <v>2716</v>
      </c>
      <c r="F223" t="s">
        <v>1592</v>
      </c>
      <c r="G223">
        <v>0</v>
      </c>
      <c r="H223">
        <v>0</v>
      </c>
      <c r="I223">
        <v>3</v>
      </c>
      <c r="J223">
        <v>0</v>
      </c>
      <c r="K223">
        <v>92964</v>
      </c>
      <c r="L223">
        <v>0</v>
      </c>
      <c r="M223">
        <v>0</v>
      </c>
      <c r="N223">
        <v>0</v>
      </c>
      <c r="O223">
        <v>0</v>
      </c>
      <c r="P223">
        <v>91900</v>
      </c>
      <c r="Q223">
        <v>0</v>
      </c>
      <c r="R223">
        <v>0</v>
      </c>
      <c r="S223">
        <f t="shared" si="3"/>
        <v>91900</v>
      </c>
      <c r="T223">
        <v>0</v>
      </c>
      <c r="U223">
        <v>0</v>
      </c>
      <c r="V223">
        <v>0</v>
      </c>
      <c r="W223">
        <v>184864</v>
      </c>
    </row>
    <row r="224" spans="1:23" ht="12.75">
      <c r="A224" t="s">
        <v>2717</v>
      </c>
      <c r="B224" t="s">
        <v>2718</v>
      </c>
      <c r="C224" t="s">
        <v>2690</v>
      </c>
      <c r="D224" t="s">
        <v>2719</v>
      </c>
      <c r="F224" t="s">
        <v>1592</v>
      </c>
      <c r="G224">
        <v>0</v>
      </c>
      <c r="H224">
        <v>0</v>
      </c>
      <c r="I224">
        <v>0</v>
      </c>
      <c r="J224">
        <v>1</v>
      </c>
      <c r="K224">
        <v>33126</v>
      </c>
      <c r="L224">
        <v>0</v>
      </c>
      <c r="M224">
        <v>0</v>
      </c>
      <c r="N224">
        <v>0</v>
      </c>
      <c r="O224">
        <v>0</v>
      </c>
      <c r="P224">
        <v>23558</v>
      </c>
      <c r="Q224">
        <v>0</v>
      </c>
      <c r="R224">
        <v>0</v>
      </c>
      <c r="S224">
        <f t="shared" si="3"/>
        <v>23558</v>
      </c>
      <c r="T224">
        <v>95696</v>
      </c>
      <c r="U224">
        <v>0</v>
      </c>
      <c r="V224">
        <v>250</v>
      </c>
      <c r="W224">
        <v>152630</v>
      </c>
    </row>
    <row r="225" spans="1:23" ht="12.75">
      <c r="A225" t="s">
        <v>2720</v>
      </c>
      <c r="B225" t="s">
        <v>2721</v>
      </c>
      <c r="C225" t="s">
        <v>2690</v>
      </c>
      <c r="D225" t="s">
        <v>2722</v>
      </c>
      <c r="F225" t="s">
        <v>1592</v>
      </c>
      <c r="G225">
        <v>0</v>
      </c>
      <c r="H225">
        <v>0</v>
      </c>
      <c r="I225">
        <v>0</v>
      </c>
      <c r="J225">
        <v>4</v>
      </c>
      <c r="K225">
        <v>114972</v>
      </c>
      <c r="L225">
        <v>0</v>
      </c>
      <c r="M225">
        <v>0</v>
      </c>
      <c r="N225">
        <v>0</v>
      </c>
      <c r="O225">
        <v>0</v>
      </c>
      <c r="P225">
        <v>44600</v>
      </c>
      <c r="Q225">
        <v>0</v>
      </c>
      <c r="R225">
        <v>0</v>
      </c>
      <c r="S225">
        <f t="shared" si="3"/>
        <v>44600</v>
      </c>
      <c r="T225">
        <v>65791</v>
      </c>
      <c r="U225">
        <v>0</v>
      </c>
      <c r="V225">
        <v>110400</v>
      </c>
      <c r="W225">
        <v>335763</v>
      </c>
    </row>
    <row r="226" spans="1:23" ht="12.75">
      <c r="A226" t="s">
        <v>2723</v>
      </c>
      <c r="B226" t="s">
        <v>2724</v>
      </c>
      <c r="C226" t="s">
        <v>2690</v>
      </c>
      <c r="D226" t="s">
        <v>2725</v>
      </c>
      <c r="F226" t="s">
        <v>1592</v>
      </c>
      <c r="G226">
        <v>0</v>
      </c>
      <c r="H226">
        <v>0</v>
      </c>
      <c r="I226">
        <v>0</v>
      </c>
      <c r="J226">
        <v>2</v>
      </c>
      <c r="K226">
        <v>71832</v>
      </c>
      <c r="L226">
        <v>0</v>
      </c>
      <c r="M226">
        <v>0</v>
      </c>
      <c r="N226">
        <v>0</v>
      </c>
      <c r="O226">
        <v>0</v>
      </c>
      <c r="P226">
        <v>24120</v>
      </c>
      <c r="Q226">
        <v>0</v>
      </c>
      <c r="R226">
        <v>0</v>
      </c>
      <c r="S226">
        <f t="shared" si="3"/>
        <v>24120</v>
      </c>
      <c r="T226">
        <v>101677</v>
      </c>
      <c r="U226">
        <v>0</v>
      </c>
      <c r="V226">
        <v>5480</v>
      </c>
      <c r="W226">
        <v>203109</v>
      </c>
    </row>
    <row r="227" spans="1:23" ht="12.75">
      <c r="A227" t="s">
        <v>2726</v>
      </c>
      <c r="B227" t="s">
        <v>2727</v>
      </c>
      <c r="C227" t="s">
        <v>2690</v>
      </c>
      <c r="D227" t="s">
        <v>2728</v>
      </c>
      <c r="F227" t="s">
        <v>1592</v>
      </c>
      <c r="G227">
        <v>0</v>
      </c>
      <c r="H227">
        <v>0</v>
      </c>
      <c r="I227">
        <v>2</v>
      </c>
      <c r="J227">
        <v>0</v>
      </c>
      <c r="K227">
        <v>50220</v>
      </c>
      <c r="L227">
        <v>0</v>
      </c>
      <c r="M227">
        <v>0</v>
      </c>
      <c r="N227">
        <v>0</v>
      </c>
      <c r="O227">
        <v>0</v>
      </c>
      <c r="P227">
        <v>31040</v>
      </c>
      <c r="Q227">
        <v>0</v>
      </c>
      <c r="R227">
        <v>0</v>
      </c>
      <c r="S227">
        <f t="shared" si="3"/>
        <v>31040</v>
      </c>
      <c r="T227">
        <v>72780</v>
      </c>
      <c r="U227">
        <v>0</v>
      </c>
      <c r="V227">
        <v>0</v>
      </c>
      <c r="W227">
        <v>154040</v>
      </c>
    </row>
    <row r="228" spans="1:23" ht="12.75">
      <c r="A228" t="s">
        <v>2729</v>
      </c>
      <c r="B228" t="s">
        <v>2730</v>
      </c>
      <c r="C228" t="s">
        <v>2690</v>
      </c>
      <c r="D228" t="s">
        <v>2731</v>
      </c>
      <c r="F228" t="s">
        <v>1592</v>
      </c>
      <c r="G228">
        <v>0</v>
      </c>
      <c r="H228">
        <v>0</v>
      </c>
      <c r="I228">
        <v>1</v>
      </c>
      <c r="J228">
        <v>2</v>
      </c>
      <c r="K228">
        <v>102744</v>
      </c>
      <c r="L228">
        <v>0</v>
      </c>
      <c r="M228">
        <v>0</v>
      </c>
      <c r="N228">
        <v>0</v>
      </c>
      <c r="O228">
        <v>0</v>
      </c>
      <c r="P228">
        <v>7000</v>
      </c>
      <c r="Q228">
        <v>0</v>
      </c>
      <c r="R228">
        <v>0</v>
      </c>
      <c r="S228">
        <f t="shared" si="3"/>
        <v>7000</v>
      </c>
      <c r="T228">
        <v>72780</v>
      </c>
      <c r="U228">
        <v>0</v>
      </c>
      <c r="V228">
        <v>4000</v>
      </c>
      <c r="W228">
        <v>186524</v>
      </c>
    </row>
    <row r="229" spans="1:23" ht="12.75">
      <c r="A229" t="s">
        <v>2732</v>
      </c>
      <c r="B229" t="s">
        <v>2733</v>
      </c>
      <c r="C229" t="s">
        <v>2690</v>
      </c>
      <c r="D229" t="s">
        <v>2734</v>
      </c>
      <c r="F229" t="s">
        <v>1592</v>
      </c>
      <c r="G229">
        <v>0</v>
      </c>
      <c r="H229">
        <v>0</v>
      </c>
      <c r="I229">
        <v>2</v>
      </c>
      <c r="J229">
        <v>0</v>
      </c>
      <c r="K229">
        <v>58884</v>
      </c>
      <c r="L229">
        <v>0</v>
      </c>
      <c r="M229">
        <v>0</v>
      </c>
      <c r="N229">
        <v>0</v>
      </c>
      <c r="O229">
        <v>0</v>
      </c>
      <c r="P229">
        <v>32180</v>
      </c>
      <c r="Q229">
        <v>0</v>
      </c>
      <c r="R229">
        <v>0</v>
      </c>
      <c r="S229">
        <f t="shared" si="3"/>
        <v>32180</v>
      </c>
      <c r="T229">
        <v>0</v>
      </c>
      <c r="U229">
        <v>0</v>
      </c>
      <c r="V229">
        <v>0</v>
      </c>
      <c r="W229">
        <v>91064</v>
      </c>
    </row>
    <row r="230" spans="1:23" ht="12.75">
      <c r="A230" t="s">
        <v>2735</v>
      </c>
      <c r="B230" t="s">
        <v>2736</v>
      </c>
      <c r="C230" t="s">
        <v>2690</v>
      </c>
      <c r="D230" t="s">
        <v>2737</v>
      </c>
      <c r="F230" t="s">
        <v>1592</v>
      </c>
      <c r="G230">
        <v>0</v>
      </c>
      <c r="H230">
        <v>0</v>
      </c>
      <c r="I230">
        <v>1</v>
      </c>
      <c r="J230">
        <v>4</v>
      </c>
      <c r="K230">
        <v>191076</v>
      </c>
      <c r="L230">
        <v>0</v>
      </c>
      <c r="M230">
        <v>0</v>
      </c>
      <c r="N230">
        <v>0</v>
      </c>
      <c r="O230">
        <v>0</v>
      </c>
      <c r="P230">
        <v>41700</v>
      </c>
      <c r="Q230">
        <v>0</v>
      </c>
      <c r="R230">
        <v>0</v>
      </c>
      <c r="S230">
        <f t="shared" si="3"/>
        <v>41700</v>
      </c>
      <c r="T230">
        <v>180860</v>
      </c>
      <c r="U230">
        <v>0</v>
      </c>
      <c r="V230">
        <v>25200</v>
      </c>
      <c r="W230">
        <v>438836</v>
      </c>
    </row>
    <row r="231" spans="1:23" ht="12.75">
      <c r="A231" t="s">
        <v>2738</v>
      </c>
      <c r="B231" t="s">
        <v>2739</v>
      </c>
      <c r="C231" t="s">
        <v>2690</v>
      </c>
      <c r="D231" t="s">
        <v>2740</v>
      </c>
      <c r="F231" t="s">
        <v>1592</v>
      </c>
      <c r="G231">
        <v>0</v>
      </c>
      <c r="H231">
        <v>0</v>
      </c>
      <c r="I231">
        <v>0</v>
      </c>
      <c r="J231">
        <v>2</v>
      </c>
      <c r="K231">
        <v>53130</v>
      </c>
      <c r="L231">
        <v>0</v>
      </c>
      <c r="M231">
        <v>0</v>
      </c>
      <c r="N231">
        <v>0</v>
      </c>
      <c r="O231">
        <v>0</v>
      </c>
      <c r="P231">
        <v>12200</v>
      </c>
      <c r="Q231">
        <v>0</v>
      </c>
      <c r="R231">
        <v>0</v>
      </c>
      <c r="S231">
        <f t="shared" si="3"/>
        <v>12200</v>
      </c>
      <c r="T231">
        <v>167468</v>
      </c>
      <c r="U231">
        <v>0</v>
      </c>
      <c r="V231">
        <v>250</v>
      </c>
      <c r="W231">
        <v>233048</v>
      </c>
    </row>
    <row r="232" spans="1:23" ht="12.75">
      <c r="A232" t="s">
        <v>2741</v>
      </c>
      <c r="B232" t="s">
        <v>2742</v>
      </c>
      <c r="C232" t="s">
        <v>2690</v>
      </c>
      <c r="D232" t="s">
        <v>2743</v>
      </c>
      <c r="F232" t="s">
        <v>1592</v>
      </c>
      <c r="G232">
        <v>0</v>
      </c>
      <c r="H232">
        <v>0</v>
      </c>
      <c r="I232">
        <v>0</v>
      </c>
      <c r="J232">
        <v>1</v>
      </c>
      <c r="K232">
        <v>39408</v>
      </c>
      <c r="L232">
        <v>0</v>
      </c>
      <c r="M232">
        <v>18000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f t="shared" si="3"/>
        <v>0</v>
      </c>
      <c r="T232">
        <v>215316</v>
      </c>
      <c r="U232">
        <v>0</v>
      </c>
      <c r="V232">
        <v>0</v>
      </c>
      <c r="W232">
        <v>272724</v>
      </c>
    </row>
    <row r="233" spans="1:23" ht="12.75">
      <c r="A233" t="s">
        <v>2744</v>
      </c>
      <c r="B233" t="s">
        <v>2745</v>
      </c>
      <c r="C233" t="s">
        <v>2690</v>
      </c>
      <c r="D233" t="s">
        <v>2746</v>
      </c>
      <c r="F233" t="s">
        <v>1592</v>
      </c>
      <c r="G233">
        <v>0</v>
      </c>
      <c r="H233">
        <v>0</v>
      </c>
      <c r="I233">
        <v>0</v>
      </c>
      <c r="J233">
        <v>1</v>
      </c>
      <c r="K233">
        <v>39408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f t="shared" si="3"/>
        <v>0</v>
      </c>
      <c r="T233">
        <v>113639</v>
      </c>
      <c r="U233">
        <v>0</v>
      </c>
      <c r="V233">
        <v>0</v>
      </c>
      <c r="W233">
        <v>153047</v>
      </c>
    </row>
    <row r="234" spans="1:23" ht="12.75">
      <c r="A234" t="s">
        <v>2747</v>
      </c>
      <c r="B234" t="s">
        <v>2748</v>
      </c>
      <c r="C234" t="s">
        <v>2690</v>
      </c>
      <c r="D234" t="s">
        <v>2749</v>
      </c>
      <c r="F234" t="s">
        <v>1592</v>
      </c>
      <c r="G234">
        <v>0</v>
      </c>
      <c r="H234">
        <v>0</v>
      </c>
      <c r="I234">
        <v>0</v>
      </c>
      <c r="J234">
        <v>2</v>
      </c>
      <c r="K234">
        <v>76236</v>
      </c>
      <c r="L234">
        <v>0</v>
      </c>
      <c r="M234">
        <v>18000</v>
      </c>
      <c r="N234">
        <v>0</v>
      </c>
      <c r="O234">
        <v>0</v>
      </c>
      <c r="P234">
        <v>59500</v>
      </c>
      <c r="Q234">
        <v>0</v>
      </c>
      <c r="R234">
        <v>0</v>
      </c>
      <c r="S234">
        <f t="shared" si="3"/>
        <v>59500</v>
      </c>
      <c r="T234">
        <v>143544</v>
      </c>
      <c r="U234">
        <v>0</v>
      </c>
      <c r="V234">
        <v>9000</v>
      </c>
      <c r="W234">
        <v>306280</v>
      </c>
    </row>
    <row r="235" spans="1:23" ht="12.75">
      <c r="A235" t="s">
        <v>2750</v>
      </c>
      <c r="B235" t="s">
        <v>2751</v>
      </c>
      <c r="C235" t="s">
        <v>2690</v>
      </c>
      <c r="D235" t="s">
        <v>2752</v>
      </c>
      <c r="F235" t="s">
        <v>1592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16700</v>
      </c>
      <c r="Q235">
        <v>0</v>
      </c>
      <c r="R235">
        <v>0</v>
      </c>
      <c r="S235">
        <f t="shared" si="3"/>
        <v>16700</v>
      </c>
      <c r="T235">
        <v>71772</v>
      </c>
      <c r="U235">
        <v>0</v>
      </c>
      <c r="V235">
        <v>0</v>
      </c>
      <c r="W235">
        <v>88472</v>
      </c>
    </row>
    <row r="236" spans="1:23" ht="12.75">
      <c r="A236" t="s">
        <v>2753</v>
      </c>
      <c r="B236" t="s">
        <v>2754</v>
      </c>
      <c r="C236" t="s">
        <v>2690</v>
      </c>
      <c r="D236" t="s">
        <v>2755</v>
      </c>
      <c r="F236" t="s">
        <v>1592</v>
      </c>
      <c r="G236">
        <v>0</v>
      </c>
      <c r="H236">
        <v>0</v>
      </c>
      <c r="I236">
        <v>0</v>
      </c>
      <c r="J236">
        <v>2</v>
      </c>
      <c r="K236">
        <v>66000</v>
      </c>
      <c r="L236">
        <v>0</v>
      </c>
      <c r="M236">
        <v>18000</v>
      </c>
      <c r="N236">
        <v>0</v>
      </c>
      <c r="O236">
        <v>0</v>
      </c>
      <c r="P236">
        <v>38640</v>
      </c>
      <c r="Q236">
        <v>0</v>
      </c>
      <c r="R236">
        <v>0</v>
      </c>
      <c r="S236">
        <f t="shared" si="3"/>
        <v>38640</v>
      </c>
      <c r="T236">
        <v>82080</v>
      </c>
      <c r="U236">
        <v>0</v>
      </c>
      <c r="V236">
        <v>0</v>
      </c>
      <c r="W236">
        <v>204720</v>
      </c>
    </row>
    <row r="237" spans="1:23" ht="12.75">
      <c r="A237" t="s">
        <v>2756</v>
      </c>
      <c r="B237" t="s">
        <v>2757</v>
      </c>
      <c r="C237" t="s">
        <v>2690</v>
      </c>
      <c r="D237" t="s">
        <v>2758</v>
      </c>
      <c r="F237" t="s">
        <v>1592</v>
      </c>
      <c r="G237">
        <v>0</v>
      </c>
      <c r="H237">
        <v>0</v>
      </c>
      <c r="I237">
        <v>0</v>
      </c>
      <c r="J237">
        <v>1</v>
      </c>
      <c r="K237">
        <v>33888</v>
      </c>
      <c r="L237">
        <v>0</v>
      </c>
      <c r="M237">
        <v>0</v>
      </c>
      <c r="N237">
        <v>0</v>
      </c>
      <c r="O237">
        <v>0</v>
      </c>
      <c r="P237">
        <v>7000</v>
      </c>
      <c r="Q237">
        <v>0</v>
      </c>
      <c r="R237">
        <v>0</v>
      </c>
      <c r="S237">
        <f t="shared" si="3"/>
        <v>7000</v>
      </c>
      <c r="T237">
        <v>49596</v>
      </c>
      <c r="U237">
        <v>0</v>
      </c>
      <c r="V237">
        <v>0</v>
      </c>
      <c r="W237">
        <v>90484</v>
      </c>
    </row>
    <row r="238" spans="1:23" ht="12.75">
      <c r="A238" t="s">
        <v>2761</v>
      </c>
      <c r="B238" t="s">
        <v>2762</v>
      </c>
      <c r="C238" t="s">
        <v>1589</v>
      </c>
      <c r="D238" t="s">
        <v>2763</v>
      </c>
      <c r="F238" t="s">
        <v>1592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1721342</v>
      </c>
      <c r="P238">
        <v>0</v>
      </c>
      <c r="Q238">
        <v>0</v>
      </c>
      <c r="R238">
        <v>0</v>
      </c>
      <c r="S238">
        <f t="shared" si="3"/>
        <v>0</v>
      </c>
      <c r="T238">
        <v>0</v>
      </c>
      <c r="U238">
        <v>0</v>
      </c>
      <c r="V238">
        <v>0</v>
      </c>
      <c r="W238">
        <v>1721342</v>
      </c>
    </row>
    <row r="239" spans="1:23" ht="12.75">
      <c r="A239" t="s">
        <v>2764</v>
      </c>
      <c r="B239" t="s">
        <v>2765</v>
      </c>
      <c r="C239" t="s">
        <v>1589</v>
      </c>
      <c r="D239" t="s">
        <v>2766</v>
      </c>
      <c r="F239" t="s">
        <v>1592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15698</v>
      </c>
      <c r="P239">
        <v>0</v>
      </c>
      <c r="Q239">
        <v>0</v>
      </c>
      <c r="R239">
        <v>0</v>
      </c>
      <c r="S239">
        <f t="shared" si="3"/>
        <v>0</v>
      </c>
      <c r="T239">
        <v>0</v>
      </c>
      <c r="U239">
        <v>0</v>
      </c>
      <c r="V239">
        <v>0</v>
      </c>
      <c r="W239">
        <v>15698</v>
      </c>
    </row>
    <row r="240" spans="1:23" ht="12.75">
      <c r="A240" t="s">
        <v>2767</v>
      </c>
      <c r="B240" t="s">
        <v>2768</v>
      </c>
      <c r="C240" t="s">
        <v>1589</v>
      </c>
      <c r="D240" t="s">
        <v>2769</v>
      </c>
      <c r="F240" t="s">
        <v>1592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31680</v>
      </c>
      <c r="M240">
        <v>0</v>
      </c>
      <c r="N240">
        <v>0</v>
      </c>
      <c r="O240">
        <v>19300</v>
      </c>
      <c r="P240">
        <v>0</v>
      </c>
      <c r="Q240">
        <v>0</v>
      </c>
      <c r="R240">
        <v>0</v>
      </c>
      <c r="S240">
        <f t="shared" si="3"/>
        <v>0</v>
      </c>
      <c r="T240">
        <v>0</v>
      </c>
      <c r="U240">
        <v>0</v>
      </c>
      <c r="V240">
        <v>0</v>
      </c>
      <c r="W240">
        <v>50980</v>
      </c>
    </row>
    <row r="241" spans="1:23" ht="12.75">
      <c r="A241" t="s">
        <v>2771</v>
      </c>
      <c r="B241" t="s">
        <v>2772</v>
      </c>
      <c r="C241" t="s">
        <v>1589</v>
      </c>
      <c r="D241" t="s">
        <v>2773</v>
      </c>
      <c r="F241" t="s">
        <v>1592</v>
      </c>
      <c r="G241">
        <v>1</v>
      </c>
      <c r="H241">
        <v>0</v>
      </c>
      <c r="I241">
        <v>9</v>
      </c>
      <c r="J241">
        <v>0</v>
      </c>
      <c r="K241">
        <v>371556</v>
      </c>
      <c r="L241">
        <v>0</v>
      </c>
      <c r="M241">
        <v>69878</v>
      </c>
      <c r="N241">
        <v>0</v>
      </c>
      <c r="O241">
        <v>0</v>
      </c>
      <c r="P241">
        <v>128484</v>
      </c>
      <c r="Q241">
        <v>0</v>
      </c>
      <c r="R241">
        <v>0</v>
      </c>
      <c r="S241">
        <f t="shared" si="3"/>
        <v>128484</v>
      </c>
      <c r="T241">
        <v>0</v>
      </c>
      <c r="U241">
        <v>0</v>
      </c>
      <c r="V241">
        <v>10000</v>
      </c>
      <c r="W241">
        <v>579918</v>
      </c>
    </row>
    <row r="242" spans="1:23" ht="12.75">
      <c r="A242" t="s">
        <v>2774</v>
      </c>
      <c r="B242" t="s">
        <v>2775</v>
      </c>
      <c r="C242" t="s">
        <v>1589</v>
      </c>
      <c r="D242" t="s">
        <v>2776</v>
      </c>
      <c r="F242" t="s">
        <v>1592</v>
      </c>
      <c r="G242">
        <v>0</v>
      </c>
      <c r="H242">
        <v>0</v>
      </c>
      <c r="I242">
        <v>10</v>
      </c>
      <c r="J242">
        <v>0</v>
      </c>
      <c r="K242">
        <v>260568</v>
      </c>
      <c r="L242">
        <v>2000</v>
      </c>
      <c r="M242">
        <v>7000</v>
      </c>
      <c r="N242">
        <v>0</v>
      </c>
      <c r="O242">
        <v>0</v>
      </c>
      <c r="P242">
        <v>78000</v>
      </c>
      <c r="Q242">
        <v>0</v>
      </c>
      <c r="R242">
        <v>0</v>
      </c>
      <c r="S242">
        <f t="shared" si="3"/>
        <v>78000</v>
      </c>
      <c r="T242">
        <v>0</v>
      </c>
      <c r="U242">
        <v>0</v>
      </c>
      <c r="V242">
        <v>0</v>
      </c>
      <c r="W242">
        <v>347568</v>
      </c>
    </row>
    <row r="243" spans="1:23" ht="12.75">
      <c r="A243" t="s">
        <v>2777</v>
      </c>
      <c r="B243" t="s">
        <v>2778</v>
      </c>
      <c r="C243" t="s">
        <v>1589</v>
      </c>
      <c r="D243" t="s">
        <v>2779</v>
      </c>
      <c r="F243" t="s">
        <v>1592</v>
      </c>
      <c r="G243">
        <v>0</v>
      </c>
      <c r="H243">
        <v>0</v>
      </c>
      <c r="I243">
        <v>6</v>
      </c>
      <c r="J243">
        <v>0</v>
      </c>
      <c r="K243">
        <v>163740</v>
      </c>
      <c r="L243">
        <v>500</v>
      </c>
      <c r="M243">
        <v>0</v>
      </c>
      <c r="N243">
        <v>0</v>
      </c>
      <c r="O243">
        <v>0</v>
      </c>
      <c r="P243">
        <v>70000</v>
      </c>
      <c r="Q243">
        <v>0</v>
      </c>
      <c r="R243">
        <v>0</v>
      </c>
      <c r="S243">
        <f t="shared" si="3"/>
        <v>70000</v>
      </c>
      <c r="T243">
        <v>0</v>
      </c>
      <c r="U243">
        <v>0</v>
      </c>
      <c r="V243">
        <v>0</v>
      </c>
      <c r="W243">
        <v>234240</v>
      </c>
    </row>
    <row r="244" spans="1:23" ht="12.75">
      <c r="A244" t="s">
        <v>2780</v>
      </c>
      <c r="B244" t="s">
        <v>2781</v>
      </c>
      <c r="C244" t="s">
        <v>1589</v>
      </c>
      <c r="D244" t="s">
        <v>2782</v>
      </c>
      <c r="F244" t="s">
        <v>1592</v>
      </c>
      <c r="G244">
        <v>0</v>
      </c>
      <c r="H244">
        <v>0</v>
      </c>
      <c r="I244">
        <v>99</v>
      </c>
      <c r="J244">
        <v>0</v>
      </c>
      <c r="K244">
        <v>1651464</v>
      </c>
      <c r="L244">
        <v>10000</v>
      </c>
      <c r="M244">
        <v>159385</v>
      </c>
      <c r="N244">
        <v>0</v>
      </c>
      <c r="O244">
        <v>0</v>
      </c>
      <c r="P244">
        <v>157550</v>
      </c>
      <c r="Q244">
        <v>0</v>
      </c>
      <c r="R244">
        <v>0</v>
      </c>
      <c r="S244">
        <f t="shared" si="3"/>
        <v>157550</v>
      </c>
      <c r="T244">
        <v>0</v>
      </c>
      <c r="U244">
        <v>0</v>
      </c>
      <c r="V244">
        <v>0</v>
      </c>
      <c r="W244">
        <v>1978399</v>
      </c>
    </row>
    <row r="245" spans="1:23" ht="12.75">
      <c r="A245" t="s">
        <v>2783</v>
      </c>
      <c r="B245" t="s">
        <v>2784</v>
      </c>
      <c r="C245" t="s">
        <v>1589</v>
      </c>
      <c r="D245" t="s">
        <v>2785</v>
      </c>
      <c r="F245" t="s">
        <v>1592</v>
      </c>
      <c r="G245">
        <v>0</v>
      </c>
      <c r="H245">
        <v>0</v>
      </c>
      <c r="I245">
        <v>8</v>
      </c>
      <c r="J245">
        <v>0</v>
      </c>
      <c r="K245">
        <v>212844</v>
      </c>
      <c r="L245">
        <v>0</v>
      </c>
      <c r="M245">
        <v>1800</v>
      </c>
      <c r="N245">
        <v>0</v>
      </c>
      <c r="O245">
        <v>0</v>
      </c>
      <c r="P245">
        <v>60000</v>
      </c>
      <c r="Q245">
        <v>0</v>
      </c>
      <c r="R245">
        <v>0</v>
      </c>
      <c r="S245">
        <f t="shared" si="3"/>
        <v>60000</v>
      </c>
      <c r="T245">
        <v>0</v>
      </c>
      <c r="U245">
        <v>0</v>
      </c>
      <c r="V245">
        <v>0</v>
      </c>
      <c r="W245">
        <v>274644</v>
      </c>
    </row>
    <row r="246" spans="1:23" ht="12.75">
      <c r="A246" t="s">
        <v>2786</v>
      </c>
      <c r="B246" t="s">
        <v>2787</v>
      </c>
      <c r="C246" t="s">
        <v>1589</v>
      </c>
      <c r="D246" t="s">
        <v>2788</v>
      </c>
      <c r="F246" t="s">
        <v>1592</v>
      </c>
      <c r="G246">
        <v>0</v>
      </c>
      <c r="H246">
        <v>0</v>
      </c>
      <c r="I246">
        <v>15</v>
      </c>
      <c r="J246">
        <v>0</v>
      </c>
      <c r="K246">
        <v>494712</v>
      </c>
      <c r="L246">
        <v>28000</v>
      </c>
      <c r="M246">
        <v>24628</v>
      </c>
      <c r="N246">
        <v>0</v>
      </c>
      <c r="O246">
        <v>0</v>
      </c>
      <c r="P246">
        <v>200000</v>
      </c>
      <c r="Q246">
        <v>0</v>
      </c>
      <c r="R246">
        <v>0</v>
      </c>
      <c r="S246">
        <f t="shared" si="3"/>
        <v>200000</v>
      </c>
      <c r="T246">
        <v>0</v>
      </c>
      <c r="U246">
        <v>0</v>
      </c>
      <c r="V246">
        <v>0</v>
      </c>
      <c r="W246">
        <v>747340</v>
      </c>
    </row>
    <row r="247" spans="1:23" ht="12.75">
      <c r="A247" t="s">
        <v>2789</v>
      </c>
      <c r="B247" t="s">
        <v>2790</v>
      </c>
      <c r="C247" t="s">
        <v>1589</v>
      </c>
      <c r="D247" t="s">
        <v>2791</v>
      </c>
      <c r="F247" t="s">
        <v>1592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80574</v>
      </c>
      <c r="Q247">
        <v>0</v>
      </c>
      <c r="R247">
        <v>0</v>
      </c>
      <c r="S247">
        <f t="shared" si="3"/>
        <v>80574</v>
      </c>
      <c r="T247">
        <v>0</v>
      </c>
      <c r="U247">
        <v>0</v>
      </c>
      <c r="V247">
        <v>1000</v>
      </c>
      <c r="W247">
        <v>81574</v>
      </c>
    </row>
    <row r="248" spans="1:23" ht="12.75">
      <c r="A248" t="s">
        <v>2792</v>
      </c>
      <c r="B248" t="s">
        <v>2793</v>
      </c>
      <c r="C248" t="s">
        <v>1589</v>
      </c>
      <c r="D248" t="s">
        <v>2794</v>
      </c>
      <c r="F248" t="s">
        <v>1592</v>
      </c>
      <c r="G248">
        <v>0</v>
      </c>
      <c r="H248">
        <v>0</v>
      </c>
      <c r="I248">
        <v>3</v>
      </c>
      <c r="J248">
        <v>0</v>
      </c>
      <c r="K248">
        <v>92916</v>
      </c>
      <c r="L248">
        <v>0</v>
      </c>
      <c r="M248">
        <v>66969</v>
      </c>
      <c r="N248">
        <v>0</v>
      </c>
      <c r="O248">
        <v>0</v>
      </c>
      <c r="P248">
        <v>26000</v>
      </c>
      <c r="Q248">
        <v>0</v>
      </c>
      <c r="R248">
        <v>0</v>
      </c>
      <c r="S248">
        <f t="shared" si="3"/>
        <v>26000</v>
      </c>
      <c r="T248">
        <v>0</v>
      </c>
      <c r="U248">
        <v>0</v>
      </c>
      <c r="V248">
        <v>0</v>
      </c>
      <c r="W248">
        <v>185885</v>
      </c>
    </row>
    <row r="249" spans="1:23" ht="12.75">
      <c r="A249" t="s">
        <v>2795</v>
      </c>
      <c r="B249" t="s">
        <v>2796</v>
      </c>
      <c r="C249" t="s">
        <v>1589</v>
      </c>
      <c r="D249" t="s">
        <v>2797</v>
      </c>
      <c r="F249" t="s">
        <v>1592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58650</v>
      </c>
      <c r="Q249">
        <v>0</v>
      </c>
      <c r="R249">
        <v>0</v>
      </c>
      <c r="S249">
        <f t="shared" si="3"/>
        <v>58650</v>
      </c>
      <c r="T249">
        <v>0</v>
      </c>
      <c r="U249">
        <v>0</v>
      </c>
      <c r="V249">
        <v>0</v>
      </c>
      <c r="W249">
        <v>58650</v>
      </c>
    </row>
    <row r="250" spans="1:23" ht="12.75">
      <c r="A250" t="s">
        <v>2798</v>
      </c>
      <c r="B250" t="s">
        <v>2799</v>
      </c>
      <c r="C250" t="s">
        <v>1589</v>
      </c>
      <c r="D250" t="s">
        <v>2800</v>
      </c>
      <c r="F250" t="s">
        <v>1592</v>
      </c>
      <c r="G250">
        <v>0</v>
      </c>
      <c r="H250">
        <v>0</v>
      </c>
      <c r="I250">
        <v>8</v>
      </c>
      <c r="J250">
        <v>0</v>
      </c>
      <c r="K250">
        <v>259812</v>
      </c>
      <c r="L250">
        <v>40000</v>
      </c>
      <c r="M250">
        <v>8000</v>
      </c>
      <c r="N250">
        <v>0</v>
      </c>
      <c r="O250">
        <v>0</v>
      </c>
      <c r="P250">
        <v>160000</v>
      </c>
      <c r="Q250">
        <v>0</v>
      </c>
      <c r="R250">
        <v>0</v>
      </c>
      <c r="S250">
        <f t="shared" si="3"/>
        <v>160000</v>
      </c>
      <c r="T250">
        <v>0</v>
      </c>
      <c r="U250">
        <v>0</v>
      </c>
      <c r="V250">
        <v>0</v>
      </c>
      <c r="W250">
        <v>467812</v>
      </c>
    </row>
    <row r="251" spans="1:23" ht="12.75">
      <c r="A251" t="s">
        <v>2801</v>
      </c>
      <c r="B251" t="s">
        <v>2802</v>
      </c>
      <c r="C251" t="s">
        <v>1589</v>
      </c>
      <c r="D251" t="s">
        <v>2803</v>
      </c>
      <c r="F251" t="s">
        <v>1592</v>
      </c>
      <c r="G251">
        <v>0</v>
      </c>
      <c r="H251">
        <v>0</v>
      </c>
      <c r="I251">
        <v>14</v>
      </c>
      <c r="J251">
        <v>0</v>
      </c>
      <c r="K251">
        <v>383592</v>
      </c>
      <c r="L251">
        <v>14000</v>
      </c>
      <c r="M251">
        <v>0</v>
      </c>
      <c r="N251">
        <v>0</v>
      </c>
      <c r="O251">
        <v>0</v>
      </c>
      <c r="P251">
        <v>130192</v>
      </c>
      <c r="Q251">
        <v>0</v>
      </c>
      <c r="R251">
        <v>0</v>
      </c>
      <c r="S251">
        <f t="shared" si="3"/>
        <v>130192</v>
      </c>
      <c r="T251">
        <v>0</v>
      </c>
      <c r="U251">
        <v>0</v>
      </c>
      <c r="V251">
        <v>0</v>
      </c>
      <c r="W251">
        <v>527784</v>
      </c>
    </row>
    <row r="252" spans="1:23" ht="12.75">
      <c r="A252" t="s">
        <v>2804</v>
      </c>
      <c r="B252" t="s">
        <v>2805</v>
      </c>
      <c r="C252" t="s">
        <v>1589</v>
      </c>
      <c r="D252" t="s">
        <v>2806</v>
      </c>
      <c r="F252" t="s">
        <v>1592</v>
      </c>
      <c r="G252">
        <v>0</v>
      </c>
      <c r="H252">
        <v>0</v>
      </c>
      <c r="I252">
        <v>5</v>
      </c>
      <c r="J252">
        <v>0</v>
      </c>
      <c r="K252">
        <v>122328</v>
      </c>
      <c r="L252">
        <v>0</v>
      </c>
      <c r="M252">
        <v>7000</v>
      </c>
      <c r="N252">
        <v>0</v>
      </c>
      <c r="O252">
        <v>0</v>
      </c>
      <c r="P252">
        <v>65000</v>
      </c>
      <c r="Q252">
        <v>0</v>
      </c>
      <c r="R252">
        <v>0</v>
      </c>
      <c r="S252">
        <f t="shared" si="3"/>
        <v>65000</v>
      </c>
      <c r="T252">
        <v>0</v>
      </c>
      <c r="U252">
        <v>0</v>
      </c>
      <c r="V252">
        <v>0</v>
      </c>
      <c r="W252">
        <v>194328</v>
      </c>
    </row>
    <row r="253" spans="1:23" ht="12.75">
      <c r="A253" t="s">
        <v>2807</v>
      </c>
      <c r="B253" t="s">
        <v>2808</v>
      </c>
      <c r="C253" t="s">
        <v>1589</v>
      </c>
      <c r="D253" t="s">
        <v>2809</v>
      </c>
      <c r="F253" t="s">
        <v>1592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23748</v>
      </c>
      <c r="Q253">
        <v>0</v>
      </c>
      <c r="R253">
        <v>0</v>
      </c>
      <c r="S253">
        <f t="shared" si="3"/>
        <v>23748</v>
      </c>
      <c r="T253">
        <v>0</v>
      </c>
      <c r="U253">
        <v>0</v>
      </c>
      <c r="V253">
        <v>0</v>
      </c>
      <c r="W253">
        <v>23748</v>
      </c>
    </row>
    <row r="254" spans="1:23" ht="12.75">
      <c r="A254" t="s">
        <v>2810</v>
      </c>
      <c r="B254" t="s">
        <v>2811</v>
      </c>
      <c r="C254" t="s">
        <v>1589</v>
      </c>
      <c r="D254" t="s">
        <v>2812</v>
      </c>
      <c r="F254" t="s">
        <v>1592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141234</v>
      </c>
      <c r="Q254">
        <v>0</v>
      </c>
      <c r="R254">
        <v>0</v>
      </c>
      <c r="S254">
        <f t="shared" si="3"/>
        <v>141234</v>
      </c>
      <c r="T254">
        <v>0</v>
      </c>
      <c r="U254">
        <v>0</v>
      </c>
      <c r="V254">
        <v>34200</v>
      </c>
      <c r="W254">
        <v>175434</v>
      </c>
    </row>
    <row r="255" spans="1:23" ht="12.75">
      <c r="A255" t="s">
        <v>2813</v>
      </c>
      <c r="B255" t="s">
        <v>2814</v>
      </c>
      <c r="C255" t="s">
        <v>1589</v>
      </c>
      <c r="D255" t="s">
        <v>2815</v>
      </c>
      <c r="F255" t="s">
        <v>1592</v>
      </c>
      <c r="G255">
        <v>0</v>
      </c>
      <c r="H255">
        <v>0</v>
      </c>
      <c r="I255">
        <v>4</v>
      </c>
      <c r="J255">
        <v>0</v>
      </c>
      <c r="K255">
        <v>142452</v>
      </c>
      <c r="L255">
        <v>850</v>
      </c>
      <c r="M255">
        <v>5716</v>
      </c>
      <c r="N255">
        <v>0</v>
      </c>
      <c r="O255">
        <v>0</v>
      </c>
      <c r="P255">
        <v>25000</v>
      </c>
      <c r="Q255">
        <v>0</v>
      </c>
      <c r="R255">
        <v>0</v>
      </c>
      <c r="S255">
        <f t="shared" si="3"/>
        <v>25000</v>
      </c>
      <c r="T255">
        <v>0</v>
      </c>
      <c r="U255">
        <v>0</v>
      </c>
      <c r="V255">
        <v>0</v>
      </c>
      <c r="W255">
        <v>174018</v>
      </c>
    </row>
    <row r="256" spans="1:23" ht="12.75">
      <c r="A256" t="s">
        <v>2816</v>
      </c>
      <c r="B256" t="s">
        <v>2817</v>
      </c>
      <c r="C256" t="s">
        <v>1589</v>
      </c>
      <c r="D256" t="s">
        <v>2818</v>
      </c>
      <c r="F256" t="s">
        <v>1592</v>
      </c>
      <c r="G256">
        <v>0</v>
      </c>
      <c r="H256">
        <v>0</v>
      </c>
      <c r="I256">
        <v>14</v>
      </c>
      <c r="J256">
        <v>0</v>
      </c>
      <c r="K256">
        <v>284484</v>
      </c>
      <c r="L256">
        <v>15000</v>
      </c>
      <c r="M256">
        <v>5860</v>
      </c>
      <c r="N256">
        <v>0</v>
      </c>
      <c r="O256">
        <v>0</v>
      </c>
      <c r="P256">
        <v>193284</v>
      </c>
      <c r="Q256">
        <v>0</v>
      </c>
      <c r="R256">
        <v>0</v>
      </c>
      <c r="S256">
        <f t="shared" si="3"/>
        <v>193284</v>
      </c>
      <c r="T256">
        <v>0</v>
      </c>
      <c r="U256">
        <v>0</v>
      </c>
      <c r="V256">
        <v>0</v>
      </c>
      <c r="W256">
        <v>498628</v>
      </c>
    </row>
    <row r="257" spans="1:23" ht="12.75">
      <c r="A257" t="s">
        <v>2820</v>
      </c>
      <c r="B257" t="s">
        <v>2821</v>
      </c>
      <c r="C257" t="s">
        <v>1589</v>
      </c>
      <c r="D257" t="s">
        <v>2822</v>
      </c>
      <c r="F257" t="s">
        <v>1592</v>
      </c>
      <c r="G257">
        <v>1</v>
      </c>
      <c r="H257">
        <v>0</v>
      </c>
      <c r="I257">
        <v>4.527</v>
      </c>
      <c r="J257">
        <v>0</v>
      </c>
      <c r="K257">
        <v>244146</v>
      </c>
      <c r="L257">
        <v>0</v>
      </c>
      <c r="M257">
        <v>20728</v>
      </c>
      <c r="N257">
        <v>0</v>
      </c>
      <c r="O257">
        <v>0</v>
      </c>
      <c r="P257">
        <v>24581</v>
      </c>
      <c r="Q257">
        <v>0</v>
      </c>
      <c r="R257">
        <v>0</v>
      </c>
      <c r="S257">
        <f t="shared" si="3"/>
        <v>24581</v>
      </c>
      <c r="T257">
        <v>0</v>
      </c>
      <c r="U257">
        <v>0</v>
      </c>
      <c r="V257">
        <v>0</v>
      </c>
      <c r="W257">
        <v>289455</v>
      </c>
    </row>
    <row r="258" spans="1:23" ht="12.75">
      <c r="A258" t="s">
        <v>2823</v>
      </c>
      <c r="B258" t="s">
        <v>2824</v>
      </c>
      <c r="C258" t="s">
        <v>1589</v>
      </c>
      <c r="D258" t="s">
        <v>2825</v>
      </c>
      <c r="F258" t="s">
        <v>1592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65000</v>
      </c>
      <c r="Q258">
        <v>0</v>
      </c>
      <c r="R258">
        <v>0</v>
      </c>
      <c r="S258">
        <f t="shared" si="3"/>
        <v>65000</v>
      </c>
      <c r="T258">
        <v>0</v>
      </c>
      <c r="U258">
        <v>0</v>
      </c>
      <c r="V258">
        <v>0</v>
      </c>
      <c r="W258">
        <v>65000</v>
      </c>
    </row>
    <row r="259" spans="1:23" ht="12.75">
      <c r="A259" t="s">
        <v>2826</v>
      </c>
      <c r="B259" t="s">
        <v>2827</v>
      </c>
      <c r="C259" t="s">
        <v>1589</v>
      </c>
      <c r="D259" t="s">
        <v>2828</v>
      </c>
      <c r="F259" t="s">
        <v>1592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75000</v>
      </c>
      <c r="Q259">
        <v>0</v>
      </c>
      <c r="R259">
        <v>0</v>
      </c>
      <c r="S259">
        <f t="shared" si="3"/>
        <v>75000</v>
      </c>
      <c r="T259">
        <v>0</v>
      </c>
      <c r="U259">
        <v>0</v>
      </c>
      <c r="V259">
        <v>0</v>
      </c>
      <c r="W259">
        <v>75000</v>
      </c>
    </row>
    <row r="260" spans="1:23" ht="12.75">
      <c r="A260" t="s">
        <v>2829</v>
      </c>
      <c r="B260" t="s">
        <v>2830</v>
      </c>
      <c r="C260" t="s">
        <v>1589</v>
      </c>
      <c r="D260" t="s">
        <v>2831</v>
      </c>
      <c r="F260" t="s">
        <v>1592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4680</v>
      </c>
      <c r="Q260">
        <v>0</v>
      </c>
      <c r="R260">
        <v>0</v>
      </c>
      <c r="S260">
        <f aca="true" t="shared" si="4" ref="S260:S323">SUM(P260:R260)</f>
        <v>4680</v>
      </c>
      <c r="T260">
        <v>0</v>
      </c>
      <c r="U260">
        <v>0</v>
      </c>
      <c r="V260">
        <v>0</v>
      </c>
      <c r="W260">
        <v>4680</v>
      </c>
    </row>
    <row r="261" spans="1:23" ht="12.75">
      <c r="A261" t="s">
        <v>2832</v>
      </c>
      <c r="B261" t="s">
        <v>2833</v>
      </c>
      <c r="C261" t="s">
        <v>1589</v>
      </c>
      <c r="D261" t="s">
        <v>2834</v>
      </c>
      <c r="F261" t="s">
        <v>1592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268218</v>
      </c>
      <c r="Q261">
        <v>0</v>
      </c>
      <c r="R261">
        <v>0</v>
      </c>
      <c r="S261">
        <f t="shared" si="4"/>
        <v>268218</v>
      </c>
      <c r="T261">
        <v>0</v>
      </c>
      <c r="U261">
        <v>0</v>
      </c>
      <c r="V261">
        <v>0</v>
      </c>
      <c r="W261">
        <v>268218</v>
      </c>
    </row>
    <row r="262" spans="1:23" ht="12.75">
      <c r="A262" t="s">
        <v>2835</v>
      </c>
      <c r="B262" t="s">
        <v>2836</v>
      </c>
      <c r="C262" t="s">
        <v>1589</v>
      </c>
      <c r="D262" t="s">
        <v>2837</v>
      </c>
      <c r="F262" t="s">
        <v>1592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3460</v>
      </c>
      <c r="Q262">
        <v>0</v>
      </c>
      <c r="R262">
        <v>0</v>
      </c>
      <c r="S262">
        <f t="shared" si="4"/>
        <v>3460</v>
      </c>
      <c r="T262">
        <v>0</v>
      </c>
      <c r="U262">
        <v>0</v>
      </c>
      <c r="V262">
        <v>0</v>
      </c>
      <c r="W262">
        <v>3460</v>
      </c>
    </row>
    <row r="263" spans="1:23" ht="12.75">
      <c r="A263" t="s">
        <v>2838</v>
      </c>
      <c r="B263" t="s">
        <v>2839</v>
      </c>
      <c r="C263" t="s">
        <v>1589</v>
      </c>
      <c r="D263" t="s">
        <v>2840</v>
      </c>
      <c r="F263" t="s">
        <v>1592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4705</v>
      </c>
      <c r="Q263">
        <v>0</v>
      </c>
      <c r="R263">
        <v>0</v>
      </c>
      <c r="S263">
        <f t="shared" si="4"/>
        <v>4705</v>
      </c>
      <c r="T263">
        <v>0</v>
      </c>
      <c r="U263">
        <v>0</v>
      </c>
      <c r="V263">
        <v>0</v>
      </c>
      <c r="W263">
        <v>4705</v>
      </c>
    </row>
    <row r="264" spans="1:23" ht="12.75">
      <c r="A264" t="s">
        <v>2841</v>
      </c>
      <c r="B264" t="s">
        <v>2842</v>
      </c>
      <c r="C264" t="s">
        <v>1589</v>
      </c>
      <c r="D264" t="s">
        <v>2843</v>
      </c>
      <c r="F264" t="s">
        <v>1592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3450</v>
      </c>
      <c r="Q264">
        <v>0</v>
      </c>
      <c r="R264">
        <v>0</v>
      </c>
      <c r="S264">
        <f t="shared" si="4"/>
        <v>3450</v>
      </c>
      <c r="T264">
        <v>0</v>
      </c>
      <c r="U264">
        <v>0</v>
      </c>
      <c r="V264">
        <v>0</v>
      </c>
      <c r="W264">
        <v>3450</v>
      </c>
    </row>
    <row r="265" spans="1:23" ht="12.75">
      <c r="A265" t="s">
        <v>2844</v>
      </c>
      <c r="B265" t="s">
        <v>2845</v>
      </c>
      <c r="C265" t="s">
        <v>1589</v>
      </c>
      <c r="D265" t="s">
        <v>2846</v>
      </c>
      <c r="F265" t="s">
        <v>1592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7295</v>
      </c>
      <c r="Q265">
        <v>0</v>
      </c>
      <c r="R265">
        <v>0</v>
      </c>
      <c r="S265">
        <f t="shared" si="4"/>
        <v>7295</v>
      </c>
      <c r="T265">
        <v>0</v>
      </c>
      <c r="U265">
        <v>0</v>
      </c>
      <c r="V265">
        <v>0</v>
      </c>
      <c r="W265">
        <v>7295</v>
      </c>
    </row>
    <row r="266" spans="1:23" ht="12.75">
      <c r="A266" t="s">
        <v>2847</v>
      </c>
      <c r="B266" t="s">
        <v>2848</v>
      </c>
      <c r="C266" t="s">
        <v>1589</v>
      </c>
      <c r="D266" t="s">
        <v>2849</v>
      </c>
      <c r="F266" t="s">
        <v>1592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7191</v>
      </c>
      <c r="Q266">
        <v>0</v>
      </c>
      <c r="R266">
        <v>0</v>
      </c>
      <c r="S266">
        <f t="shared" si="4"/>
        <v>7191</v>
      </c>
      <c r="T266">
        <v>0</v>
      </c>
      <c r="U266">
        <v>0</v>
      </c>
      <c r="V266">
        <v>0</v>
      </c>
      <c r="W266">
        <v>7191</v>
      </c>
    </row>
    <row r="267" spans="1:23" ht="12.75">
      <c r="A267" t="s">
        <v>2850</v>
      </c>
      <c r="B267" t="s">
        <v>2851</v>
      </c>
      <c r="C267" t="s">
        <v>1589</v>
      </c>
      <c r="D267" t="s">
        <v>2852</v>
      </c>
      <c r="F267" t="s">
        <v>1592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4965</v>
      </c>
      <c r="Q267">
        <v>0</v>
      </c>
      <c r="R267">
        <v>0</v>
      </c>
      <c r="S267">
        <f t="shared" si="4"/>
        <v>4965</v>
      </c>
      <c r="T267">
        <v>0</v>
      </c>
      <c r="U267">
        <v>0</v>
      </c>
      <c r="V267">
        <v>0</v>
      </c>
      <c r="W267">
        <v>4965</v>
      </c>
    </row>
    <row r="268" spans="1:23" ht="12.75">
      <c r="A268" t="s">
        <v>2853</v>
      </c>
      <c r="B268" t="s">
        <v>2854</v>
      </c>
      <c r="C268" t="s">
        <v>1589</v>
      </c>
      <c r="D268" t="s">
        <v>2855</v>
      </c>
      <c r="F268" t="s">
        <v>1592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89574</v>
      </c>
      <c r="Q268">
        <v>0</v>
      </c>
      <c r="R268">
        <v>0</v>
      </c>
      <c r="S268">
        <f t="shared" si="4"/>
        <v>89574</v>
      </c>
      <c r="T268">
        <v>0</v>
      </c>
      <c r="U268">
        <v>0</v>
      </c>
      <c r="V268">
        <v>0</v>
      </c>
      <c r="W268">
        <v>89574</v>
      </c>
    </row>
    <row r="269" spans="1:23" ht="12.75">
      <c r="A269" t="s">
        <v>2856</v>
      </c>
      <c r="B269" t="s">
        <v>2857</v>
      </c>
      <c r="C269" t="s">
        <v>1589</v>
      </c>
      <c r="D269" t="s">
        <v>2858</v>
      </c>
      <c r="F269" t="s">
        <v>1592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90013</v>
      </c>
      <c r="Q269">
        <v>0</v>
      </c>
      <c r="R269">
        <v>0</v>
      </c>
      <c r="S269">
        <f t="shared" si="4"/>
        <v>90013</v>
      </c>
      <c r="T269">
        <v>0</v>
      </c>
      <c r="U269">
        <v>0</v>
      </c>
      <c r="V269">
        <v>0</v>
      </c>
      <c r="W269">
        <v>90013</v>
      </c>
    </row>
    <row r="270" spans="1:23" ht="12.75">
      <c r="A270" t="s">
        <v>2859</v>
      </c>
      <c r="B270" t="s">
        <v>2860</v>
      </c>
      <c r="C270" t="s">
        <v>1589</v>
      </c>
      <c r="D270" t="s">
        <v>2861</v>
      </c>
      <c r="F270" t="s">
        <v>1592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160027</v>
      </c>
      <c r="Q270">
        <v>0</v>
      </c>
      <c r="R270">
        <v>0</v>
      </c>
      <c r="S270">
        <f t="shared" si="4"/>
        <v>160027</v>
      </c>
      <c r="T270">
        <v>0</v>
      </c>
      <c r="U270">
        <v>0</v>
      </c>
      <c r="V270">
        <v>0</v>
      </c>
      <c r="W270">
        <v>160027</v>
      </c>
    </row>
    <row r="271" spans="1:23" ht="12.75">
      <c r="A271" t="s">
        <v>2864</v>
      </c>
      <c r="B271" t="s">
        <v>2865</v>
      </c>
      <c r="C271" t="s">
        <v>1589</v>
      </c>
      <c r="D271" t="s">
        <v>2866</v>
      </c>
      <c r="F271" t="s">
        <v>1592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2197566</v>
      </c>
      <c r="P271">
        <v>0</v>
      </c>
      <c r="Q271">
        <v>0</v>
      </c>
      <c r="R271">
        <v>0</v>
      </c>
      <c r="S271">
        <f t="shared" si="4"/>
        <v>0</v>
      </c>
      <c r="T271">
        <v>0</v>
      </c>
      <c r="U271">
        <v>0</v>
      </c>
      <c r="V271">
        <v>0</v>
      </c>
      <c r="W271">
        <v>2197566</v>
      </c>
    </row>
    <row r="272" spans="1:23" ht="12.75">
      <c r="A272" t="s">
        <v>2867</v>
      </c>
      <c r="B272" t="s">
        <v>2869</v>
      </c>
      <c r="C272" t="s">
        <v>1589</v>
      </c>
      <c r="D272" t="s">
        <v>2870</v>
      </c>
      <c r="F272" t="s">
        <v>1592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10614</v>
      </c>
      <c r="P272">
        <v>0</v>
      </c>
      <c r="Q272">
        <v>0</v>
      </c>
      <c r="R272">
        <v>0</v>
      </c>
      <c r="S272">
        <f t="shared" si="4"/>
        <v>0</v>
      </c>
      <c r="T272">
        <v>0</v>
      </c>
      <c r="U272">
        <v>0</v>
      </c>
      <c r="V272">
        <v>0</v>
      </c>
      <c r="W272">
        <v>10614</v>
      </c>
    </row>
    <row r="273" spans="1:23" ht="12.75">
      <c r="A273" t="s">
        <v>2871</v>
      </c>
      <c r="B273" t="s">
        <v>2872</v>
      </c>
      <c r="C273" t="s">
        <v>1589</v>
      </c>
      <c r="D273" t="s">
        <v>2873</v>
      </c>
      <c r="F273" t="s">
        <v>1592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29220</v>
      </c>
      <c r="M273">
        <v>0</v>
      </c>
      <c r="N273">
        <v>0</v>
      </c>
      <c r="O273">
        <v>17800</v>
      </c>
      <c r="P273">
        <v>0</v>
      </c>
      <c r="Q273">
        <v>0</v>
      </c>
      <c r="R273">
        <v>0</v>
      </c>
      <c r="S273">
        <f t="shared" si="4"/>
        <v>0</v>
      </c>
      <c r="T273">
        <v>0</v>
      </c>
      <c r="U273">
        <v>0</v>
      </c>
      <c r="V273">
        <v>0</v>
      </c>
      <c r="W273">
        <v>47020</v>
      </c>
    </row>
    <row r="274" spans="1:23" ht="12.75">
      <c r="A274" t="s">
        <v>2875</v>
      </c>
      <c r="B274" t="s">
        <v>2876</v>
      </c>
      <c r="C274" t="s">
        <v>1589</v>
      </c>
      <c r="D274" t="s">
        <v>2877</v>
      </c>
      <c r="F274" t="s">
        <v>1592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f t="shared" si="4"/>
        <v>0</v>
      </c>
      <c r="T274">
        <v>0</v>
      </c>
      <c r="U274">
        <v>22106</v>
      </c>
      <c r="V274">
        <v>0</v>
      </c>
      <c r="W274">
        <v>22106</v>
      </c>
    </row>
    <row r="275" spans="1:23" ht="12.75">
      <c r="A275" t="s">
        <v>2879</v>
      </c>
      <c r="B275" t="s">
        <v>2880</v>
      </c>
      <c r="C275" t="s">
        <v>1589</v>
      </c>
      <c r="D275" t="s">
        <v>2881</v>
      </c>
      <c r="F275" t="s">
        <v>1592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44323</v>
      </c>
      <c r="Q275">
        <v>0</v>
      </c>
      <c r="R275">
        <v>0</v>
      </c>
      <c r="S275">
        <f t="shared" si="4"/>
        <v>44323</v>
      </c>
      <c r="T275">
        <v>0</v>
      </c>
      <c r="U275">
        <v>0</v>
      </c>
      <c r="V275">
        <v>8500</v>
      </c>
      <c r="W275">
        <v>52823</v>
      </c>
    </row>
    <row r="276" spans="1:23" ht="12.75">
      <c r="A276" t="s">
        <v>2882</v>
      </c>
      <c r="B276" t="s">
        <v>2883</v>
      </c>
      <c r="C276" t="s">
        <v>1589</v>
      </c>
      <c r="D276" t="s">
        <v>2884</v>
      </c>
      <c r="F276" t="s">
        <v>1592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74595</v>
      </c>
      <c r="N276">
        <v>0</v>
      </c>
      <c r="O276">
        <v>0</v>
      </c>
      <c r="P276">
        <v>6811</v>
      </c>
      <c r="Q276">
        <v>0</v>
      </c>
      <c r="R276">
        <v>0</v>
      </c>
      <c r="S276">
        <f t="shared" si="4"/>
        <v>6811</v>
      </c>
      <c r="T276">
        <v>0</v>
      </c>
      <c r="U276">
        <v>0</v>
      </c>
      <c r="V276">
        <v>9045</v>
      </c>
      <c r="W276">
        <v>90451</v>
      </c>
    </row>
    <row r="277" spans="1:23" ht="12.75">
      <c r="A277" t="s">
        <v>2886</v>
      </c>
      <c r="B277" t="s">
        <v>2887</v>
      </c>
      <c r="C277" t="s">
        <v>1589</v>
      </c>
      <c r="D277" t="s">
        <v>2888</v>
      </c>
      <c r="F277" t="s">
        <v>1592</v>
      </c>
      <c r="G277">
        <v>3</v>
      </c>
      <c r="H277">
        <v>0</v>
      </c>
      <c r="I277">
        <v>1</v>
      </c>
      <c r="J277">
        <v>0</v>
      </c>
      <c r="K277">
        <v>262236</v>
      </c>
      <c r="L277">
        <v>0</v>
      </c>
      <c r="M277">
        <v>23434</v>
      </c>
      <c r="N277">
        <v>0</v>
      </c>
      <c r="O277">
        <v>0</v>
      </c>
      <c r="P277">
        <v>27180</v>
      </c>
      <c r="Q277">
        <v>0</v>
      </c>
      <c r="R277">
        <v>0</v>
      </c>
      <c r="S277">
        <f t="shared" si="4"/>
        <v>27180</v>
      </c>
      <c r="T277">
        <v>0</v>
      </c>
      <c r="U277">
        <v>0</v>
      </c>
      <c r="V277">
        <v>0</v>
      </c>
      <c r="W277">
        <v>312850</v>
      </c>
    </row>
    <row r="278" spans="1:23" ht="12.75">
      <c r="A278" t="s">
        <v>2890</v>
      </c>
      <c r="B278" t="s">
        <v>2891</v>
      </c>
      <c r="C278" t="s">
        <v>1589</v>
      </c>
      <c r="D278" t="s">
        <v>2892</v>
      </c>
      <c r="F278" t="s">
        <v>1592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1500</v>
      </c>
      <c r="Q278">
        <v>0</v>
      </c>
      <c r="R278">
        <v>0</v>
      </c>
      <c r="S278">
        <f t="shared" si="4"/>
        <v>1500</v>
      </c>
      <c r="T278">
        <v>0</v>
      </c>
      <c r="U278">
        <v>0</v>
      </c>
      <c r="V278">
        <v>0</v>
      </c>
      <c r="W278">
        <v>1500</v>
      </c>
    </row>
    <row r="279" spans="1:23" ht="12.75">
      <c r="A279" t="s">
        <v>2893</v>
      </c>
      <c r="B279" t="s">
        <v>2894</v>
      </c>
      <c r="C279" t="s">
        <v>1589</v>
      </c>
      <c r="D279" t="s">
        <v>2895</v>
      </c>
      <c r="F279" t="s">
        <v>1592</v>
      </c>
      <c r="G279">
        <v>5</v>
      </c>
      <c r="H279">
        <v>0</v>
      </c>
      <c r="I279">
        <v>3</v>
      </c>
      <c r="J279">
        <v>0</v>
      </c>
      <c r="K279">
        <v>361812</v>
      </c>
      <c r="L279">
        <v>0</v>
      </c>
      <c r="M279">
        <v>6864</v>
      </c>
      <c r="N279">
        <v>0</v>
      </c>
      <c r="O279">
        <v>0</v>
      </c>
      <c r="P279">
        <v>32839</v>
      </c>
      <c r="Q279">
        <v>0</v>
      </c>
      <c r="R279">
        <v>0</v>
      </c>
      <c r="S279">
        <f t="shared" si="4"/>
        <v>32839</v>
      </c>
      <c r="T279">
        <v>0</v>
      </c>
      <c r="U279">
        <v>0</v>
      </c>
      <c r="V279">
        <v>0</v>
      </c>
      <c r="W279">
        <v>401515</v>
      </c>
    </row>
    <row r="280" spans="1:23" ht="12.75">
      <c r="A280" t="s">
        <v>2896</v>
      </c>
      <c r="B280" t="s">
        <v>2897</v>
      </c>
      <c r="C280" t="s">
        <v>1589</v>
      </c>
      <c r="D280" t="s">
        <v>2898</v>
      </c>
      <c r="F280" t="s">
        <v>1592</v>
      </c>
      <c r="G280">
        <v>2</v>
      </c>
      <c r="H280">
        <v>0</v>
      </c>
      <c r="I280">
        <v>0</v>
      </c>
      <c r="J280">
        <v>0</v>
      </c>
      <c r="K280">
        <v>94752</v>
      </c>
      <c r="L280">
        <v>0</v>
      </c>
      <c r="M280">
        <v>0</v>
      </c>
      <c r="N280">
        <v>0</v>
      </c>
      <c r="O280">
        <v>0</v>
      </c>
      <c r="P280">
        <v>1161</v>
      </c>
      <c r="Q280">
        <v>0</v>
      </c>
      <c r="R280">
        <v>0</v>
      </c>
      <c r="S280">
        <f t="shared" si="4"/>
        <v>1161</v>
      </c>
      <c r="T280">
        <v>0</v>
      </c>
      <c r="U280">
        <v>0</v>
      </c>
      <c r="V280">
        <v>0</v>
      </c>
      <c r="W280">
        <v>95913</v>
      </c>
    </row>
    <row r="281" spans="1:23" ht="12.75">
      <c r="A281" t="s">
        <v>2899</v>
      </c>
      <c r="B281" t="s">
        <v>2900</v>
      </c>
      <c r="C281" t="s">
        <v>1589</v>
      </c>
      <c r="D281" t="s">
        <v>2901</v>
      </c>
      <c r="F281" t="s">
        <v>1592</v>
      </c>
      <c r="G281">
        <v>1</v>
      </c>
      <c r="H281">
        <v>0</v>
      </c>
      <c r="I281">
        <v>10</v>
      </c>
      <c r="J281">
        <v>0</v>
      </c>
      <c r="K281">
        <v>198676</v>
      </c>
      <c r="L281">
        <v>0</v>
      </c>
      <c r="M281">
        <v>17180</v>
      </c>
      <c r="N281">
        <v>0</v>
      </c>
      <c r="O281">
        <v>0</v>
      </c>
      <c r="P281">
        <v>20923</v>
      </c>
      <c r="Q281">
        <v>0</v>
      </c>
      <c r="R281">
        <v>0</v>
      </c>
      <c r="S281">
        <f t="shared" si="4"/>
        <v>20923</v>
      </c>
      <c r="T281">
        <v>0</v>
      </c>
      <c r="U281">
        <v>0</v>
      </c>
      <c r="V281">
        <v>0</v>
      </c>
      <c r="W281">
        <v>236779</v>
      </c>
    </row>
    <row r="282" spans="1:23" ht="12.75">
      <c r="A282" t="s">
        <v>2902</v>
      </c>
      <c r="B282" t="s">
        <v>2903</v>
      </c>
      <c r="C282" t="s">
        <v>1589</v>
      </c>
      <c r="D282" t="s">
        <v>2904</v>
      </c>
      <c r="F282" t="s">
        <v>1592</v>
      </c>
      <c r="G282">
        <v>2</v>
      </c>
      <c r="H282">
        <v>1</v>
      </c>
      <c r="I282">
        <v>3</v>
      </c>
      <c r="J282">
        <v>0</v>
      </c>
      <c r="K282">
        <v>362508</v>
      </c>
      <c r="L282">
        <v>0</v>
      </c>
      <c r="M282">
        <v>4347</v>
      </c>
      <c r="N282">
        <v>0</v>
      </c>
      <c r="O282">
        <v>0</v>
      </c>
      <c r="P282">
        <v>72361</v>
      </c>
      <c r="Q282">
        <v>0</v>
      </c>
      <c r="R282">
        <v>0</v>
      </c>
      <c r="S282">
        <f t="shared" si="4"/>
        <v>72361</v>
      </c>
      <c r="T282">
        <v>0</v>
      </c>
      <c r="U282">
        <v>0</v>
      </c>
      <c r="V282">
        <v>0</v>
      </c>
      <c r="W282">
        <v>439216</v>
      </c>
    </row>
    <row r="283" spans="1:23" ht="12.75">
      <c r="A283" t="s">
        <v>2905</v>
      </c>
      <c r="B283" t="s">
        <v>2906</v>
      </c>
      <c r="C283" t="s">
        <v>1589</v>
      </c>
      <c r="D283" t="s">
        <v>2907</v>
      </c>
      <c r="F283" t="s">
        <v>1592</v>
      </c>
      <c r="G283">
        <v>0</v>
      </c>
      <c r="H283">
        <v>0</v>
      </c>
      <c r="I283">
        <v>5</v>
      </c>
      <c r="J283">
        <v>0</v>
      </c>
      <c r="K283">
        <v>147480</v>
      </c>
      <c r="L283">
        <v>0</v>
      </c>
      <c r="M283">
        <v>0</v>
      </c>
      <c r="N283">
        <v>0</v>
      </c>
      <c r="O283">
        <v>0</v>
      </c>
      <c r="P283">
        <v>3317</v>
      </c>
      <c r="Q283">
        <v>0</v>
      </c>
      <c r="R283">
        <v>0</v>
      </c>
      <c r="S283">
        <f t="shared" si="4"/>
        <v>3317</v>
      </c>
      <c r="T283">
        <v>0</v>
      </c>
      <c r="U283">
        <v>0</v>
      </c>
      <c r="V283">
        <v>0</v>
      </c>
      <c r="W283">
        <v>150797</v>
      </c>
    </row>
    <row r="284" spans="1:23" ht="12.75">
      <c r="A284" t="s">
        <v>2909</v>
      </c>
      <c r="B284" t="s">
        <v>2910</v>
      </c>
      <c r="C284" t="s">
        <v>1589</v>
      </c>
      <c r="D284" t="s">
        <v>2911</v>
      </c>
      <c r="F284" t="s">
        <v>1592</v>
      </c>
      <c r="G284">
        <v>1</v>
      </c>
      <c r="H284">
        <v>0</v>
      </c>
      <c r="I284">
        <v>2.5</v>
      </c>
      <c r="J284">
        <v>0</v>
      </c>
      <c r="K284">
        <v>118872</v>
      </c>
      <c r="L284">
        <v>0</v>
      </c>
      <c r="M284">
        <v>0</v>
      </c>
      <c r="N284">
        <v>0</v>
      </c>
      <c r="O284">
        <v>0</v>
      </c>
      <c r="P284">
        <v>3</v>
      </c>
      <c r="Q284">
        <v>0</v>
      </c>
      <c r="R284">
        <v>0</v>
      </c>
      <c r="S284">
        <f t="shared" si="4"/>
        <v>3</v>
      </c>
      <c r="T284">
        <v>0</v>
      </c>
      <c r="U284">
        <v>0</v>
      </c>
      <c r="V284">
        <v>0</v>
      </c>
      <c r="W284">
        <v>118875</v>
      </c>
    </row>
    <row r="285" spans="1:23" ht="12.75">
      <c r="A285" t="s">
        <v>2913</v>
      </c>
      <c r="B285" t="s">
        <v>2914</v>
      </c>
      <c r="C285" t="s">
        <v>1589</v>
      </c>
      <c r="D285" t="s">
        <v>2915</v>
      </c>
      <c r="F285" t="s">
        <v>1592</v>
      </c>
      <c r="G285">
        <v>0</v>
      </c>
      <c r="H285">
        <v>0</v>
      </c>
      <c r="I285">
        <v>5</v>
      </c>
      <c r="J285">
        <v>0</v>
      </c>
      <c r="K285">
        <v>97152</v>
      </c>
      <c r="L285">
        <v>0</v>
      </c>
      <c r="M285">
        <v>5917</v>
      </c>
      <c r="N285">
        <v>0</v>
      </c>
      <c r="O285">
        <v>0</v>
      </c>
      <c r="P285">
        <v>0</v>
      </c>
      <c r="Q285">
        <v>0</v>
      </c>
      <c r="R285">
        <v>0</v>
      </c>
      <c r="S285">
        <f t="shared" si="4"/>
        <v>0</v>
      </c>
      <c r="T285">
        <v>0</v>
      </c>
      <c r="U285">
        <v>0</v>
      </c>
      <c r="V285">
        <v>0</v>
      </c>
      <c r="W285">
        <v>103069</v>
      </c>
    </row>
    <row r="286" spans="1:23" ht="12.75">
      <c r="A286" t="s">
        <v>2917</v>
      </c>
      <c r="B286" t="s">
        <v>2918</v>
      </c>
      <c r="C286" t="s">
        <v>1589</v>
      </c>
      <c r="D286" t="s">
        <v>2919</v>
      </c>
      <c r="F286" t="s">
        <v>1592</v>
      </c>
      <c r="G286">
        <v>1</v>
      </c>
      <c r="H286">
        <v>0</v>
      </c>
      <c r="I286">
        <v>12</v>
      </c>
      <c r="J286">
        <v>0</v>
      </c>
      <c r="K286">
        <v>418472</v>
      </c>
      <c r="L286">
        <v>0</v>
      </c>
      <c r="M286">
        <v>14411</v>
      </c>
      <c r="N286">
        <v>0</v>
      </c>
      <c r="O286">
        <v>0</v>
      </c>
      <c r="P286">
        <v>98468</v>
      </c>
      <c r="Q286">
        <v>0</v>
      </c>
      <c r="R286">
        <v>0</v>
      </c>
      <c r="S286">
        <f t="shared" si="4"/>
        <v>98468</v>
      </c>
      <c r="T286">
        <v>0</v>
      </c>
      <c r="U286">
        <v>0</v>
      </c>
      <c r="V286">
        <v>0</v>
      </c>
      <c r="W286">
        <v>531351</v>
      </c>
    </row>
    <row r="287" spans="1:23" ht="12.75">
      <c r="A287" t="s">
        <v>2921</v>
      </c>
      <c r="B287" t="s">
        <v>2922</v>
      </c>
      <c r="C287" t="s">
        <v>1589</v>
      </c>
      <c r="D287" t="s">
        <v>2923</v>
      </c>
      <c r="F287" t="s">
        <v>1592</v>
      </c>
      <c r="G287">
        <v>1</v>
      </c>
      <c r="H287">
        <v>0</v>
      </c>
      <c r="I287">
        <v>11</v>
      </c>
      <c r="J287">
        <v>0</v>
      </c>
      <c r="K287">
        <v>418944</v>
      </c>
      <c r="L287">
        <v>2315</v>
      </c>
      <c r="M287">
        <v>47678</v>
      </c>
      <c r="N287">
        <v>0</v>
      </c>
      <c r="O287">
        <v>0</v>
      </c>
      <c r="P287">
        <v>34784</v>
      </c>
      <c r="Q287">
        <v>0</v>
      </c>
      <c r="R287">
        <v>0</v>
      </c>
      <c r="S287">
        <f t="shared" si="4"/>
        <v>34784</v>
      </c>
      <c r="T287">
        <v>0</v>
      </c>
      <c r="U287">
        <v>0</v>
      </c>
      <c r="V287">
        <v>0</v>
      </c>
      <c r="W287">
        <v>503721</v>
      </c>
    </row>
    <row r="288" spans="1:23" ht="12.75">
      <c r="A288" t="s">
        <v>2930</v>
      </c>
      <c r="B288" t="s">
        <v>2931</v>
      </c>
      <c r="C288" t="s">
        <v>1589</v>
      </c>
      <c r="D288" t="s">
        <v>2932</v>
      </c>
      <c r="F288" t="s">
        <v>1592</v>
      </c>
      <c r="G288">
        <v>1</v>
      </c>
      <c r="H288">
        <v>0</v>
      </c>
      <c r="I288">
        <v>24</v>
      </c>
      <c r="J288">
        <v>0</v>
      </c>
      <c r="K288">
        <v>1051734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f t="shared" si="4"/>
        <v>0</v>
      </c>
      <c r="T288">
        <v>0</v>
      </c>
      <c r="U288">
        <v>0</v>
      </c>
      <c r="V288">
        <v>0</v>
      </c>
      <c r="W288">
        <v>1051734</v>
      </c>
    </row>
    <row r="289" spans="1:23" ht="12.75">
      <c r="A289" t="s">
        <v>2933</v>
      </c>
      <c r="B289" t="s">
        <v>2663</v>
      </c>
      <c r="C289" t="s">
        <v>1589</v>
      </c>
      <c r="D289" t="s">
        <v>2934</v>
      </c>
      <c r="F289" t="s">
        <v>1592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105158</v>
      </c>
      <c r="Q289">
        <v>0</v>
      </c>
      <c r="R289">
        <v>0</v>
      </c>
      <c r="S289">
        <f t="shared" si="4"/>
        <v>105158</v>
      </c>
      <c r="T289">
        <v>0</v>
      </c>
      <c r="U289">
        <v>0</v>
      </c>
      <c r="V289">
        <v>0</v>
      </c>
      <c r="W289">
        <v>105158</v>
      </c>
    </row>
    <row r="290" spans="1:23" ht="12.75">
      <c r="A290" t="s">
        <v>2935</v>
      </c>
      <c r="B290" t="s">
        <v>2666</v>
      </c>
      <c r="C290" t="s">
        <v>1589</v>
      </c>
      <c r="D290" t="s">
        <v>2936</v>
      </c>
      <c r="F290" t="s">
        <v>1592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244756</v>
      </c>
      <c r="Q290">
        <v>0</v>
      </c>
      <c r="R290">
        <v>0</v>
      </c>
      <c r="S290">
        <f t="shared" si="4"/>
        <v>244756</v>
      </c>
      <c r="T290">
        <v>0</v>
      </c>
      <c r="U290">
        <v>0</v>
      </c>
      <c r="V290">
        <v>0</v>
      </c>
      <c r="W290">
        <v>244756</v>
      </c>
    </row>
    <row r="291" spans="1:23" ht="12.75">
      <c r="A291" t="s">
        <v>2937</v>
      </c>
      <c r="B291" t="s">
        <v>2669</v>
      </c>
      <c r="C291" t="s">
        <v>1589</v>
      </c>
      <c r="D291" t="s">
        <v>2938</v>
      </c>
      <c r="F291" t="s">
        <v>1592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1737</v>
      </c>
      <c r="Q291">
        <v>0</v>
      </c>
      <c r="R291">
        <v>0</v>
      </c>
      <c r="S291">
        <f t="shared" si="4"/>
        <v>1737</v>
      </c>
      <c r="T291">
        <v>0</v>
      </c>
      <c r="U291">
        <v>0</v>
      </c>
      <c r="V291">
        <v>0</v>
      </c>
      <c r="W291">
        <v>1737</v>
      </c>
    </row>
    <row r="292" spans="1:23" ht="12.75">
      <c r="A292" t="s">
        <v>2939</v>
      </c>
      <c r="B292" t="s">
        <v>2672</v>
      </c>
      <c r="C292" t="s">
        <v>1589</v>
      </c>
      <c r="D292" t="s">
        <v>2940</v>
      </c>
      <c r="F292" t="s">
        <v>1592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8578</v>
      </c>
      <c r="Q292">
        <v>0</v>
      </c>
      <c r="R292">
        <v>0</v>
      </c>
      <c r="S292">
        <f t="shared" si="4"/>
        <v>8578</v>
      </c>
      <c r="T292">
        <v>0</v>
      </c>
      <c r="U292">
        <v>0</v>
      </c>
      <c r="V292">
        <v>0</v>
      </c>
      <c r="W292">
        <v>8578</v>
      </c>
    </row>
    <row r="293" spans="1:23" ht="12.75">
      <c r="A293" t="s">
        <v>2941</v>
      </c>
      <c r="B293" t="s">
        <v>2942</v>
      </c>
      <c r="C293" t="s">
        <v>1589</v>
      </c>
      <c r="D293" t="s">
        <v>2943</v>
      </c>
      <c r="F293" t="s">
        <v>1592</v>
      </c>
      <c r="G293">
        <v>1</v>
      </c>
      <c r="H293">
        <v>0</v>
      </c>
      <c r="I293">
        <v>6</v>
      </c>
      <c r="J293">
        <v>0</v>
      </c>
      <c r="K293">
        <v>219792</v>
      </c>
      <c r="L293">
        <v>0</v>
      </c>
      <c r="M293">
        <v>0</v>
      </c>
      <c r="N293">
        <v>0</v>
      </c>
      <c r="O293">
        <v>0</v>
      </c>
      <c r="P293">
        <v>8265</v>
      </c>
      <c r="Q293">
        <v>0</v>
      </c>
      <c r="R293">
        <v>0</v>
      </c>
      <c r="S293">
        <f t="shared" si="4"/>
        <v>8265</v>
      </c>
      <c r="T293">
        <v>0</v>
      </c>
      <c r="U293">
        <v>0</v>
      </c>
      <c r="V293">
        <v>0</v>
      </c>
      <c r="W293">
        <v>228057</v>
      </c>
    </row>
    <row r="294" spans="1:23" ht="12.75">
      <c r="A294" t="s">
        <v>2944</v>
      </c>
      <c r="B294" t="s">
        <v>2945</v>
      </c>
      <c r="C294" t="s">
        <v>1589</v>
      </c>
      <c r="D294" t="s">
        <v>2946</v>
      </c>
      <c r="F294" t="s">
        <v>1592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222059</v>
      </c>
      <c r="Q294">
        <v>0</v>
      </c>
      <c r="R294">
        <v>0</v>
      </c>
      <c r="S294">
        <f t="shared" si="4"/>
        <v>222059</v>
      </c>
      <c r="T294">
        <v>0</v>
      </c>
      <c r="U294">
        <v>0</v>
      </c>
      <c r="V294">
        <v>0</v>
      </c>
      <c r="W294">
        <v>222059</v>
      </c>
    </row>
    <row r="295" spans="1:23" ht="12.75">
      <c r="A295" t="s">
        <v>2947</v>
      </c>
      <c r="B295" t="s">
        <v>2948</v>
      </c>
      <c r="C295" t="s">
        <v>1589</v>
      </c>
      <c r="D295" t="s">
        <v>2949</v>
      </c>
      <c r="F295" t="s">
        <v>1592</v>
      </c>
      <c r="G295">
        <v>0</v>
      </c>
      <c r="H295">
        <v>0</v>
      </c>
      <c r="I295">
        <v>1</v>
      </c>
      <c r="J295">
        <v>0</v>
      </c>
      <c r="K295">
        <v>30372</v>
      </c>
      <c r="L295">
        <v>0</v>
      </c>
      <c r="M295">
        <v>0</v>
      </c>
      <c r="N295">
        <v>0</v>
      </c>
      <c r="O295">
        <v>0</v>
      </c>
      <c r="P295">
        <v>4980</v>
      </c>
      <c r="Q295">
        <v>0</v>
      </c>
      <c r="R295">
        <v>0</v>
      </c>
      <c r="S295">
        <f t="shared" si="4"/>
        <v>4980</v>
      </c>
      <c r="T295">
        <v>0</v>
      </c>
      <c r="U295">
        <v>0</v>
      </c>
      <c r="V295">
        <v>3400</v>
      </c>
      <c r="W295">
        <v>38752</v>
      </c>
    </row>
    <row r="296" spans="1:23" ht="12.75">
      <c r="A296" t="s">
        <v>2950</v>
      </c>
      <c r="B296" t="s">
        <v>2951</v>
      </c>
      <c r="C296" t="s">
        <v>1589</v>
      </c>
      <c r="D296" t="s">
        <v>2952</v>
      </c>
      <c r="F296" t="s">
        <v>1592</v>
      </c>
      <c r="G296">
        <v>4.12</v>
      </c>
      <c r="H296">
        <v>2.4539999999999997</v>
      </c>
      <c r="I296">
        <v>5</v>
      </c>
      <c r="J296">
        <v>3</v>
      </c>
      <c r="K296">
        <v>771572</v>
      </c>
      <c r="L296">
        <v>0</v>
      </c>
      <c r="M296">
        <v>35000</v>
      </c>
      <c r="N296">
        <v>0</v>
      </c>
      <c r="O296">
        <v>0</v>
      </c>
      <c r="P296">
        <v>103442</v>
      </c>
      <c r="Q296">
        <v>0</v>
      </c>
      <c r="R296">
        <v>0</v>
      </c>
      <c r="S296">
        <f t="shared" si="4"/>
        <v>103442</v>
      </c>
      <c r="T296">
        <v>0</v>
      </c>
      <c r="U296">
        <v>0</v>
      </c>
      <c r="V296">
        <v>25000</v>
      </c>
      <c r="W296">
        <v>935014</v>
      </c>
    </row>
    <row r="297" spans="1:23" ht="12.75">
      <c r="A297" t="s">
        <v>2953</v>
      </c>
      <c r="B297" t="s">
        <v>2954</v>
      </c>
      <c r="C297" t="s">
        <v>1589</v>
      </c>
      <c r="D297" t="s">
        <v>2955</v>
      </c>
      <c r="F297" t="s">
        <v>1592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5000</v>
      </c>
      <c r="Q297">
        <v>0</v>
      </c>
      <c r="R297">
        <v>0</v>
      </c>
      <c r="S297">
        <f t="shared" si="4"/>
        <v>5000</v>
      </c>
      <c r="T297">
        <v>0</v>
      </c>
      <c r="U297">
        <v>0</v>
      </c>
      <c r="V297">
        <v>0</v>
      </c>
      <c r="W297">
        <v>5000</v>
      </c>
    </row>
    <row r="298" spans="1:23" ht="12.75">
      <c r="A298" t="s">
        <v>2956</v>
      </c>
      <c r="B298" t="s">
        <v>2957</v>
      </c>
      <c r="C298" t="s">
        <v>1589</v>
      </c>
      <c r="D298" t="s">
        <v>2958</v>
      </c>
      <c r="F298" t="s">
        <v>1592</v>
      </c>
      <c r="G298">
        <v>0</v>
      </c>
      <c r="H298">
        <v>0</v>
      </c>
      <c r="I298">
        <v>5</v>
      </c>
      <c r="J298">
        <v>0</v>
      </c>
      <c r="K298">
        <v>90768</v>
      </c>
      <c r="L298">
        <v>0</v>
      </c>
      <c r="M298">
        <v>2105</v>
      </c>
      <c r="N298">
        <v>0</v>
      </c>
      <c r="O298">
        <v>0</v>
      </c>
      <c r="P298">
        <v>10663</v>
      </c>
      <c r="Q298">
        <v>0</v>
      </c>
      <c r="R298">
        <v>0</v>
      </c>
      <c r="S298">
        <f t="shared" si="4"/>
        <v>10663</v>
      </c>
      <c r="T298">
        <v>0</v>
      </c>
      <c r="U298">
        <v>0</v>
      </c>
      <c r="V298">
        <v>0</v>
      </c>
      <c r="W298">
        <v>103536</v>
      </c>
    </row>
    <row r="299" spans="1:23" ht="12.75">
      <c r="A299" t="s">
        <v>2960</v>
      </c>
      <c r="B299" t="s">
        <v>2961</v>
      </c>
      <c r="C299" t="s">
        <v>1589</v>
      </c>
      <c r="D299" t="s">
        <v>2962</v>
      </c>
      <c r="F299" t="s">
        <v>1592</v>
      </c>
      <c r="G299">
        <v>0</v>
      </c>
      <c r="H299">
        <v>0</v>
      </c>
      <c r="I299">
        <v>7</v>
      </c>
      <c r="J299">
        <v>0</v>
      </c>
      <c r="K299">
        <v>209508</v>
      </c>
      <c r="L299">
        <v>0</v>
      </c>
      <c r="M299">
        <v>65550</v>
      </c>
      <c r="N299">
        <v>0</v>
      </c>
      <c r="O299">
        <v>0</v>
      </c>
      <c r="P299">
        <v>37330</v>
      </c>
      <c r="Q299">
        <v>0</v>
      </c>
      <c r="R299">
        <v>0</v>
      </c>
      <c r="S299">
        <f t="shared" si="4"/>
        <v>37330</v>
      </c>
      <c r="T299">
        <v>0</v>
      </c>
      <c r="U299">
        <v>0</v>
      </c>
      <c r="V299">
        <v>0</v>
      </c>
      <c r="W299">
        <v>312388</v>
      </c>
    </row>
    <row r="300" spans="1:23" ht="12.75">
      <c r="A300" t="s">
        <v>2964</v>
      </c>
      <c r="B300" t="s">
        <v>2965</v>
      </c>
      <c r="C300" t="s">
        <v>1589</v>
      </c>
      <c r="D300" t="s">
        <v>2966</v>
      </c>
      <c r="F300" t="s">
        <v>1592</v>
      </c>
      <c r="G300">
        <v>1</v>
      </c>
      <c r="H300">
        <v>0</v>
      </c>
      <c r="I300">
        <v>15.834</v>
      </c>
      <c r="J300">
        <v>0</v>
      </c>
      <c r="K300">
        <v>449340</v>
      </c>
      <c r="L300">
        <v>23142</v>
      </c>
      <c r="M300">
        <v>17347</v>
      </c>
      <c r="N300">
        <v>0</v>
      </c>
      <c r="O300">
        <v>0</v>
      </c>
      <c r="P300">
        <v>68040</v>
      </c>
      <c r="Q300">
        <v>0</v>
      </c>
      <c r="R300">
        <v>0</v>
      </c>
      <c r="S300">
        <f t="shared" si="4"/>
        <v>68040</v>
      </c>
      <c r="T300">
        <v>0</v>
      </c>
      <c r="U300">
        <v>0</v>
      </c>
      <c r="V300">
        <v>2837</v>
      </c>
      <c r="W300">
        <v>560706</v>
      </c>
    </row>
    <row r="301" spans="1:23" ht="12.75">
      <c r="A301" t="s">
        <v>2967</v>
      </c>
      <c r="B301" t="s">
        <v>2968</v>
      </c>
      <c r="C301" t="s">
        <v>1589</v>
      </c>
      <c r="D301" t="s">
        <v>2969</v>
      </c>
      <c r="F301" t="s">
        <v>1592</v>
      </c>
      <c r="G301">
        <v>0</v>
      </c>
      <c r="H301">
        <v>0</v>
      </c>
      <c r="I301">
        <v>5.166</v>
      </c>
      <c r="J301">
        <v>0</v>
      </c>
      <c r="K301">
        <v>115044</v>
      </c>
      <c r="L301">
        <v>7407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f t="shared" si="4"/>
        <v>0</v>
      </c>
      <c r="T301">
        <v>0</v>
      </c>
      <c r="U301">
        <v>0</v>
      </c>
      <c r="V301">
        <v>0</v>
      </c>
      <c r="W301">
        <v>122451</v>
      </c>
    </row>
    <row r="302" spans="1:23" ht="12.75">
      <c r="A302" t="s">
        <v>2970</v>
      </c>
      <c r="B302" t="s">
        <v>2971</v>
      </c>
      <c r="C302" t="s">
        <v>1589</v>
      </c>
      <c r="D302" t="s">
        <v>2972</v>
      </c>
      <c r="F302" t="s">
        <v>1592</v>
      </c>
      <c r="G302">
        <v>0.88</v>
      </c>
      <c r="H302">
        <v>0</v>
      </c>
      <c r="I302">
        <v>0</v>
      </c>
      <c r="J302">
        <v>0</v>
      </c>
      <c r="K302">
        <v>38904</v>
      </c>
      <c r="L302">
        <v>0</v>
      </c>
      <c r="M302">
        <v>0</v>
      </c>
      <c r="N302">
        <v>0</v>
      </c>
      <c r="O302">
        <v>0</v>
      </c>
      <c r="P302">
        <v>9215</v>
      </c>
      <c r="Q302">
        <v>0</v>
      </c>
      <c r="R302">
        <v>0</v>
      </c>
      <c r="S302">
        <f t="shared" si="4"/>
        <v>9215</v>
      </c>
      <c r="T302">
        <v>0</v>
      </c>
      <c r="U302">
        <v>0</v>
      </c>
      <c r="V302">
        <v>7020</v>
      </c>
      <c r="W302">
        <v>55139</v>
      </c>
    </row>
    <row r="303" spans="1:23" ht="12.75">
      <c r="A303" t="s">
        <v>2973</v>
      </c>
      <c r="B303" t="s">
        <v>2974</v>
      </c>
      <c r="C303" t="s">
        <v>1589</v>
      </c>
      <c r="D303" t="s">
        <v>2975</v>
      </c>
      <c r="F303" t="s">
        <v>1592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13632</v>
      </c>
      <c r="N303">
        <v>0</v>
      </c>
      <c r="O303">
        <v>0</v>
      </c>
      <c r="P303">
        <v>3031</v>
      </c>
      <c r="Q303">
        <v>0</v>
      </c>
      <c r="R303">
        <v>0</v>
      </c>
      <c r="S303">
        <f t="shared" si="4"/>
        <v>3031</v>
      </c>
      <c r="T303">
        <v>0</v>
      </c>
      <c r="U303">
        <v>0</v>
      </c>
      <c r="V303">
        <v>0</v>
      </c>
      <c r="W303">
        <v>16663</v>
      </c>
    </row>
    <row r="304" spans="1:23" ht="12.75">
      <c r="A304" t="s">
        <v>2976</v>
      </c>
      <c r="B304" t="s">
        <v>2977</v>
      </c>
      <c r="C304" t="s">
        <v>1589</v>
      </c>
      <c r="D304" t="s">
        <v>2978</v>
      </c>
      <c r="F304" t="s">
        <v>1592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10625</v>
      </c>
      <c r="N304">
        <v>0</v>
      </c>
      <c r="O304">
        <v>0</v>
      </c>
      <c r="P304">
        <v>3704</v>
      </c>
      <c r="Q304">
        <v>0</v>
      </c>
      <c r="R304">
        <v>0</v>
      </c>
      <c r="S304">
        <f t="shared" si="4"/>
        <v>3704</v>
      </c>
      <c r="T304">
        <v>0</v>
      </c>
      <c r="U304">
        <v>0</v>
      </c>
      <c r="V304">
        <v>0</v>
      </c>
      <c r="W304">
        <v>14329</v>
      </c>
    </row>
    <row r="305" spans="1:23" ht="12.75">
      <c r="A305" t="s">
        <v>2979</v>
      </c>
      <c r="B305" t="s">
        <v>2980</v>
      </c>
      <c r="C305" t="s">
        <v>1589</v>
      </c>
      <c r="D305" t="s">
        <v>2981</v>
      </c>
      <c r="F305" t="s">
        <v>1592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13400</v>
      </c>
      <c r="N305">
        <v>0</v>
      </c>
      <c r="O305">
        <v>0</v>
      </c>
      <c r="P305">
        <v>6600</v>
      </c>
      <c r="Q305">
        <v>0</v>
      </c>
      <c r="R305">
        <v>0</v>
      </c>
      <c r="S305">
        <f t="shared" si="4"/>
        <v>6600</v>
      </c>
      <c r="T305">
        <v>0</v>
      </c>
      <c r="U305">
        <v>0</v>
      </c>
      <c r="V305">
        <v>0</v>
      </c>
      <c r="W305">
        <v>20000</v>
      </c>
    </row>
    <row r="306" spans="1:23" ht="12.75">
      <c r="A306" t="s">
        <v>2982</v>
      </c>
      <c r="B306" t="s">
        <v>2983</v>
      </c>
      <c r="C306" t="s">
        <v>1589</v>
      </c>
      <c r="D306" t="s">
        <v>2984</v>
      </c>
      <c r="F306" t="s">
        <v>1592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12910</v>
      </c>
      <c r="Q306">
        <v>0</v>
      </c>
      <c r="R306">
        <v>0</v>
      </c>
      <c r="S306">
        <f t="shared" si="4"/>
        <v>12910</v>
      </c>
      <c r="T306">
        <v>0</v>
      </c>
      <c r="U306">
        <v>0</v>
      </c>
      <c r="V306">
        <v>0</v>
      </c>
      <c r="W306">
        <v>12910</v>
      </c>
    </row>
    <row r="307" spans="1:23" ht="12.75">
      <c r="A307" t="s">
        <v>2985</v>
      </c>
      <c r="B307" t="s">
        <v>2986</v>
      </c>
      <c r="C307" t="s">
        <v>1589</v>
      </c>
      <c r="D307" t="s">
        <v>2987</v>
      </c>
      <c r="F307" t="s">
        <v>1592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21668</v>
      </c>
      <c r="Q307">
        <v>0</v>
      </c>
      <c r="R307">
        <v>0</v>
      </c>
      <c r="S307">
        <f t="shared" si="4"/>
        <v>21668</v>
      </c>
      <c r="T307">
        <v>0</v>
      </c>
      <c r="U307">
        <v>0</v>
      </c>
      <c r="V307">
        <v>20000</v>
      </c>
      <c r="W307">
        <v>41668</v>
      </c>
    </row>
    <row r="308" spans="1:23" ht="12.75">
      <c r="A308" t="s">
        <v>2988</v>
      </c>
      <c r="B308" t="s">
        <v>2989</v>
      </c>
      <c r="C308" t="s">
        <v>1589</v>
      </c>
      <c r="D308" t="s">
        <v>2990</v>
      </c>
      <c r="F308" t="s">
        <v>1592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816095</v>
      </c>
      <c r="Q308">
        <v>0</v>
      </c>
      <c r="R308">
        <v>0</v>
      </c>
      <c r="S308">
        <f t="shared" si="4"/>
        <v>816095</v>
      </c>
      <c r="T308">
        <v>0</v>
      </c>
      <c r="U308">
        <v>0</v>
      </c>
      <c r="V308">
        <v>0</v>
      </c>
      <c r="W308">
        <v>816095</v>
      </c>
    </row>
    <row r="309" spans="1:23" ht="12.75">
      <c r="A309" t="s">
        <v>2991</v>
      </c>
      <c r="B309" t="s">
        <v>2992</v>
      </c>
      <c r="C309" t="s">
        <v>1589</v>
      </c>
      <c r="D309" t="s">
        <v>2993</v>
      </c>
      <c r="F309" t="s">
        <v>1592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5893</v>
      </c>
      <c r="Q309">
        <v>0</v>
      </c>
      <c r="R309">
        <v>0</v>
      </c>
      <c r="S309">
        <f t="shared" si="4"/>
        <v>5893</v>
      </c>
      <c r="T309">
        <v>0</v>
      </c>
      <c r="U309">
        <v>0</v>
      </c>
      <c r="V309">
        <v>0</v>
      </c>
      <c r="W309">
        <v>5893</v>
      </c>
    </row>
    <row r="310" spans="1:23" ht="12.75">
      <c r="A310" t="s">
        <v>2994</v>
      </c>
      <c r="B310" t="s">
        <v>2995</v>
      </c>
      <c r="C310" t="s">
        <v>1589</v>
      </c>
      <c r="D310" t="s">
        <v>2996</v>
      </c>
      <c r="F310" t="s">
        <v>1592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12882</v>
      </c>
      <c r="Q310">
        <v>0</v>
      </c>
      <c r="R310">
        <v>0</v>
      </c>
      <c r="S310">
        <f t="shared" si="4"/>
        <v>12882</v>
      </c>
      <c r="T310">
        <v>0</v>
      </c>
      <c r="U310">
        <v>0</v>
      </c>
      <c r="V310">
        <v>0</v>
      </c>
      <c r="W310">
        <v>12882</v>
      </c>
    </row>
    <row r="311" spans="1:23" ht="12.75">
      <c r="A311" t="s">
        <v>2997</v>
      </c>
      <c r="B311" t="s">
        <v>2998</v>
      </c>
      <c r="C311" t="s">
        <v>1589</v>
      </c>
      <c r="D311" t="s">
        <v>2999</v>
      </c>
      <c r="F311" t="s">
        <v>1592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18928</v>
      </c>
      <c r="Q311">
        <v>0</v>
      </c>
      <c r="R311">
        <v>0</v>
      </c>
      <c r="S311">
        <f t="shared" si="4"/>
        <v>18928</v>
      </c>
      <c r="T311">
        <v>0</v>
      </c>
      <c r="U311">
        <v>0</v>
      </c>
      <c r="V311">
        <v>0</v>
      </c>
      <c r="W311">
        <v>18928</v>
      </c>
    </row>
    <row r="312" spans="1:23" ht="12.75">
      <c r="A312" t="s">
        <v>3000</v>
      </c>
      <c r="B312" t="s">
        <v>3001</v>
      </c>
      <c r="C312" t="s">
        <v>1589</v>
      </c>
      <c r="D312" t="s">
        <v>3002</v>
      </c>
      <c r="F312" t="s">
        <v>1592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36000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f t="shared" si="4"/>
        <v>0</v>
      </c>
      <c r="T312">
        <v>0</v>
      </c>
      <c r="U312">
        <v>0</v>
      </c>
      <c r="V312">
        <v>3900</v>
      </c>
      <c r="W312">
        <v>39900</v>
      </c>
    </row>
    <row r="313" spans="1:23" ht="12.75">
      <c r="A313" t="s">
        <v>3003</v>
      </c>
      <c r="B313" t="s">
        <v>3004</v>
      </c>
      <c r="C313" t="s">
        <v>1589</v>
      </c>
      <c r="D313" t="s">
        <v>3005</v>
      </c>
      <c r="F313" t="s">
        <v>1592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12168</v>
      </c>
      <c r="N313">
        <v>0</v>
      </c>
      <c r="O313">
        <v>0</v>
      </c>
      <c r="P313">
        <v>6611</v>
      </c>
      <c r="Q313">
        <v>0</v>
      </c>
      <c r="R313">
        <v>0</v>
      </c>
      <c r="S313">
        <f t="shared" si="4"/>
        <v>6611</v>
      </c>
      <c r="T313">
        <v>0</v>
      </c>
      <c r="U313">
        <v>0</v>
      </c>
      <c r="V313">
        <v>0</v>
      </c>
      <c r="W313">
        <v>18779</v>
      </c>
    </row>
    <row r="314" spans="1:23" ht="12.75">
      <c r="A314" t="s">
        <v>3006</v>
      </c>
      <c r="B314" t="s">
        <v>3007</v>
      </c>
      <c r="C314" t="s">
        <v>1589</v>
      </c>
      <c r="D314" t="s">
        <v>3008</v>
      </c>
      <c r="F314" t="s">
        <v>1592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f t="shared" si="4"/>
        <v>0</v>
      </c>
      <c r="T314">
        <v>0</v>
      </c>
      <c r="U314">
        <v>9000</v>
      </c>
      <c r="V314">
        <v>0</v>
      </c>
      <c r="W314">
        <v>9000</v>
      </c>
    </row>
    <row r="315" spans="1:23" ht="12.75">
      <c r="A315" t="s">
        <v>3009</v>
      </c>
      <c r="B315" t="s">
        <v>3010</v>
      </c>
      <c r="C315" t="s">
        <v>1589</v>
      </c>
      <c r="D315" t="s">
        <v>3011</v>
      </c>
      <c r="F315" t="s">
        <v>1592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f t="shared" si="4"/>
        <v>0</v>
      </c>
      <c r="T315">
        <v>0</v>
      </c>
      <c r="U315">
        <v>73473</v>
      </c>
      <c r="V315">
        <v>0</v>
      </c>
      <c r="W315">
        <v>73473</v>
      </c>
    </row>
    <row r="316" spans="1:23" ht="12.75">
      <c r="A316" t="s">
        <v>3012</v>
      </c>
      <c r="B316" t="s">
        <v>3013</v>
      </c>
      <c r="C316" t="s">
        <v>1589</v>
      </c>
      <c r="D316" t="s">
        <v>3014</v>
      </c>
      <c r="F316" t="s">
        <v>1592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f t="shared" si="4"/>
        <v>0</v>
      </c>
      <c r="T316">
        <v>0</v>
      </c>
      <c r="U316">
        <v>0</v>
      </c>
      <c r="V316">
        <v>20167</v>
      </c>
      <c r="W316">
        <v>20167</v>
      </c>
    </row>
    <row r="317" spans="1:23" ht="12.75">
      <c r="A317" t="s">
        <v>3015</v>
      </c>
      <c r="B317" t="s">
        <v>3016</v>
      </c>
      <c r="C317" t="s">
        <v>1589</v>
      </c>
      <c r="D317" t="s">
        <v>3017</v>
      </c>
      <c r="F317" t="s">
        <v>1592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5000</v>
      </c>
      <c r="Q317">
        <v>0</v>
      </c>
      <c r="R317">
        <v>0</v>
      </c>
      <c r="S317">
        <f t="shared" si="4"/>
        <v>5000</v>
      </c>
      <c r="T317">
        <v>0</v>
      </c>
      <c r="U317">
        <v>0</v>
      </c>
      <c r="V317">
        <v>0</v>
      </c>
      <c r="W317">
        <v>5000</v>
      </c>
    </row>
    <row r="318" spans="1:23" ht="12.75">
      <c r="A318" t="s">
        <v>3018</v>
      </c>
      <c r="B318" t="s">
        <v>3019</v>
      </c>
      <c r="C318" t="s">
        <v>1589</v>
      </c>
      <c r="D318" t="s">
        <v>3020</v>
      </c>
      <c r="F318" t="s">
        <v>1592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104280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f t="shared" si="4"/>
        <v>0</v>
      </c>
      <c r="T318">
        <v>0</v>
      </c>
      <c r="U318">
        <v>0</v>
      </c>
      <c r="V318">
        <v>0</v>
      </c>
      <c r="W318">
        <v>104280</v>
      </c>
    </row>
    <row r="319" spans="1:23" ht="12.75">
      <c r="A319" t="s">
        <v>3021</v>
      </c>
      <c r="B319" t="s">
        <v>3022</v>
      </c>
      <c r="C319" t="s">
        <v>1589</v>
      </c>
      <c r="D319" t="s">
        <v>3023</v>
      </c>
      <c r="F319" t="s">
        <v>1592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f t="shared" si="4"/>
        <v>0</v>
      </c>
      <c r="T319">
        <v>0</v>
      </c>
      <c r="U319">
        <v>2498</v>
      </c>
      <c r="V319">
        <v>0</v>
      </c>
      <c r="W319">
        <v>2498</v>
      </c>
    </row>
    <row r="320" spans="1:23" ht="12.75">
      <c r="A320" t="s">
        <v>3024</v>
      </c>
      <c r="B320" t="s">
        <v>3025</v>
      </c>
      <c r="C320" t="s">
        <v>1589</v>
      </c>
      <c r="D320" t="s">
        <v>3026</v>
      </c>
      <c r="F320" t="s">
        <v>1592</v>
      </c>
      <c r="G320">
        <v>6</v>
      </c>
      <c r="H320">
        <v>0</v>
      </c>
      <c r="I320">
        <v>15.5</v>
      </c>
      <c r="J320">
        <v>0</v>
      </c>
      <c r="K320">
        <v>890814</v>
      </c>
      <c r="L320">
        <v>0</v>
      </c>
      <c r="M320">
        <v>10000</v>
      </c>
      <c r="N320">
        <v>0</v>
      </c>
      <c r="O320">
        <v>0</v>
      </c>
      <c r="P320">
        <v>126416</v>
      </c>
      <c r="Q320">
        <v>0</v>
      </c>
      <c r="R320">
        <v>0</v>
      </c>
      <c r="S320">
        <f t="shared" si="4"/>
        <v>126416</v>
      </c>
      <c r="T320">
        <v>0</v>
      </c>
      <c r="U320">
        <v>0</v>
      </c>
      <c r="V320">
        <v>21000</v>
      </c>
      <c r="W320">
        <v>1048230</v>
      </c>
    </row>
    <row r="321" spans="1:23" ht="12.75">
      <c r="A321" t="s">
        <v>3027</v>
      </c>
      <c r="B321" t="s">
        <v>3028</v>
      </c>
      <c r="C321" t="s">
        <v>1589</v>
      </c>
      <c r="D321" t="s">
        <v>3029</v>
      </c>
      <c r="F321" t="s">
        <v>1592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2418</v>
      </c>
      <c r="Q321">
        <v>0</v>
      </c>
      <c r="R321">
        <v>0</v>
      </c>
      <c r="S321">
        <f t="shared" si="4"/>
        <v>2418</v>
      </c>
      <c r="T321">
        <v>0</v>
      </c>
      <c r="U321">
        <v>0</v>
      </c>
      <c r="V321">
        <v>13744</v>
      </c>
      <c r="W321">
        <v>16162</v>
      </c>
    </row>
    <row r="322" spans="1:23" ht="12.75">
      <c r="A322" t="s">
        <v>3030</v>
      </c>
      <c r="B322" t="s">
        <v>3031</v>
      </c>
      <c r="C322" t="s">
        <v>1589</v>
      </c>
      <c r="D322" t="s">
        <v>3032</v>
      </c>
      <c r="F322" t="s">
        <v>1592</v>
      </c>
      <c r="G322">
        <v>1</v>
      </c>
      <c r="H322">
        <v>0</v>
      </c>
      <c r="I322">
        <v>2</v>
      </c>
      <c r="J322">
        <v>0</v>
      </c>
      <c r="K322">
        <v>159252</v>
      </c>
      <c r="L322">
        <v>0</v>
      </c>
      <c r="M322">
        <v>0</v>
      </c>
      <c r="N322">
        <v>0</v>
      </c>
      <c r="O322">
        <v>0</v>
      </c>
      <c r="P322">
        <v>6803</v>
      </c>
      <c r="Q322">
        <v>0</v>
      </c>
      <c r="R322">
        <v>0</v>
      </c>
      <c r="S322">
        <f t="shared" si="4"/>
        <v>6803</v>
      </c>
      <c r="T322">
        <v>0</v>
      </c>
      <c r="U322">
        <v>0</v>
      </c>
      <c r="V322">
        <v>0</v>
      </c>
      <c r="W322">
        <v>166055</v>
      </c>
    </row>
    <row r="323" spans="1:23" ht="12.75">
      <c r="A323" t="s">
        <v>3034</v>
      </c>
      <c r="B323" t="s">
        <v>3035</v>
      </c>
      <c r="C323" t="s">
        <v>1589</v>
      </c>
      <c r="D323" t="s">
        <v>3036</v>
      </c>
      <c r="F323" t="s">
        <v>1592</v>
      </c>
      <c r="G323">
        <v>1</v>
      </c>
      <c r="H323">
        <v>0</v>
      </c>
      <c r="I323">
        <v>3</v>
      </c>
      <c r="J323">
        <v>0</v>
      </c>
      <c r="K323">
        <v>186492</v>
      </c>
      <c r="L323">
        <v>0</v>
      </c>
      <c r="M323">
        <v>10152</v>
      </c>
      <c r="N323">
        <v>0</v>
      </c>
      <c r="O323">
        <v>0</v>
      </c>
      <c r="P323">
        <v>7547</v>
      </c>
      <c r="Q323">
        <v>0</v>
      </c>
      <c r="R323">
        <v>0</v>
      </c>
      <c r="S323">
        <f t="shared" si="4"/>
        <v>7547</v>
      </c>
      <c r="T323">
        <v>0</v>
      </c>
      <c r="U323">
        <v>0</v>
      </c>
      <c r="V323">
        <v>0</v>
      </c>
      <c r="W323">
        <v>204191</v>
      </c>
    </row>
    <row r="324" spans="1:23" ht="12.75">
      <c r="A324" t="s">
        <v>3037</v>
      </c>
      <c r="B324" t="s">
        <v>3038</v>
      </c>
      <c r="C324" t="s">
        <v>1589</v>
      </c>
      <c r="D324" t="s">
        <v>3039</v>
      </c>
      <c r="F324" t="s">
        <v>1592</v>
      </c>
      <c r="G324">
        <v>1</v>
      </c>
      <c r="H324">
        <v>0</v>
      </c>
      <c r="I324">
        <v>3</v>
      </c>
      <c r="J324">
        <v>0</v>
      </c>
      <c r="K324">
        <v>197076</v>
      </c>
      <c r="L324">
        <v>0</v>
      </c>
      <c r="M324">
        <v>0</v>
      </c>
      <c r="N324">
        <v>0</v>
      </c>
      <c r="O324">
        <v>0</v>
      </c>
      <c r="P324">
        <v>6033</v>
      </c>
      <c r="Q324">
        <v>0</v>
      </c>
      <c r="R324">
        <v>0</v>
      </c>
      <c r="S324">
        <f aca="true" t="shared" si="5" ref="S324:S387">SUM(P324:R324)</f>
        <v>6033</v>
      </c>
      <c r="T324">
        <v>0</v>
      </c>
      <c r="U324">
        <v>0</v>
      </c>
      <c r="V324">
        <v>0</v>
      </c>
      <c r="W324">
        <v>203109</v>
      </c>
    </row>
    <row r="325" spans="1:23" ht="12.75">
      <c r="A325" t="s">
        <v>3040</v>
      </c>
      <c r="B325" t="s">
        <v>3041</v>
      </c>
      <c r="C325" t="s">
        <v>1589</v>
      </c>
      <c r="D325" t="s">
        <v>3042</v>
      </c>
      <c r="F325" t="s">
        <v>1592</v>
      </c>
      <c r="G325">
        <v>0</v>
      </c>
      <c r="H325">
        <v>0</v>
      </c>
      <c r="I325">
        <v>20</v>
      </c>
      <c r="J325">
        <v>0</v>
      </c>
      <c r="K325">
        <v>462696</v>
      </c>
      <c r="L325">
        <v>1083</v>
      </c>
      <c r="M325">
        <v>12487</v>
      </c>
      <c r="N325">
        <v>0</v>
      </c>
      <c r="O325">
        <v>0</v>
      </c>
      <c r="P325">
        <v>30776</v>
      </c>
      <c r="Q325">
        <v>0</v>
      </c>
      <c r="R325">
        <v>0</v>
      </c>
      <c r="S325">
        <f t="shared" si="5"/>
        <v>30776</v>
      </c>
      <c r="T325">
        <v>0</v>
      </c>
      <c r="U325">
        <v>0</v>
      </c>
      <c r="V325">
        <v>0</v>
      </c>
      <c r="W325">
        <v>507042</v>
      </c>
    </row>
    <row r="326" spans="1:23" ht="12.75">
      <c r="A326" t="s">
        <v>3043</v>
      </c>
      <c r="B326" t="s">
        <v>3044</v>
      </c>
      <c r="C326" t="s">
        <v>1589</v>
      </c>
      <c r="D326" t="s">
        <v>3045</v>
      </c>
      <c r="F326" t="s">
        <v>1592</v>
      </c>
      <c r="G326">
        <v>0</v>
      </c>
      <c r="H326">
        <v>0</v>
      </c>
      <c r="I326">
        <v>4</v>
      </c>
      <c r="J326">
        <v>0</v>
      </c>
      <c r="K326">
        <v>112824</v>
      </c>
      <c r="L326">
        <v>2494</v>
      </c>
      <c r="M326">
        <v>4368</v>
      </c>
      <c r="N326">
        <v>0</v>
      </c>
      <c r="O326">
        <v>0</v>
      </c>
      <c r="P326">
        <v>11313</v>
      </c>
      <c r="Q326">
        <v>0</v>
      </c>
      <c r="R326">
        <v>0</v>
      </c>
      <c r="S326">
        <f t="shared" si="5"/>
        <v>11313</v>
      </c>
      <c r="T326">
        <v>0</v>
      </c>
      <c r="U326">
        <v>0</v>
      </c>
      <c r="V326">
        <v>0</v>
      </c>
      <c r="W326">
        <v>130999</v>
      </c>
    </row>
    <row r="327" spans="1:23" ht="12.75">
      <c r="A327" t="s">
        <v>3046</v>
      </c>
      <c r="B327" t="s">
        <v>3047</v>
      </c>
      <c r="C327" t="s">
        <v>1589</v>
      </c>
      <c r="D327" t="s">
        <v>3048</v>
      </c>
      <c r="F327" t="s">
        <v>1592</v>
      </c>
      <c r="G327">
        <v>0</v>
      </c>
      <c r="H327">
        <v>0</v>
      </c>
      <c r="I327">
        <v>5</v>
      </c>
      <c r="J327">
        <v>0</v>
      </c>
      <c r="K327">
        <v>143880</v>
      </c>
      <c r="L327">
        <v>0</v>
      </c>
      <c r="M327">
        <v>0</v>
      </c>
      <c r="N327">
        <v>0</v>
      </c>
      <c r="O327">
        <v>0</v>
      </c>
      <c r="P327">
        <v>12300</v>
      </c>
      <c r="Q327">
        <v>0</v>
      </c>
      <c r="R327">
        <v>0</v>
      </c>
      <c r="S327">
        <f t="shared" si="5"/>
        <v>12300</v>
      </c>
      <c r="T327">
        <v>0</v>
      </c>
      <c r="U327">
        <v>0</v>
      </c>
      <c r="V327">
        <v>0</v>
      </c>
      <c r="W327">
        <v>156180</v>
      </c>
    </row>
    <row r="328" spans="1:23" ht="12.75">
      <c r="A328" t="s">
        <v>3049</v>
      </c>
      <c r="B328" t="s">
        <v>3050</v>
      </c>
      <c r="C328" t="s">
        <v>1589</v>
      </c>
      <c r="D328" t="s">
        <v>3051</v>
      </c>
      <c r="F328" t="s">
        <v>1592</v>
      </c>
      <c r="G328">
        <v>0</v>
      </c>
      <c r="H328">
        <v>0</v>
      </c>
      <c r="I328">
        <v>6</v>
      </c>
      <c r="J328">
        <v>0</v>
      </c>
      <c r="K328">
        <v>172308</v>
      </c>
      <c r="L328">
        <v>0</v>
      </c>
      <c r="M328">
        <v>10633</v>
      </c>
      <c r="N328">
        <v>0</v>
      </c>
      <c r="O328">
        <v>0</v>
      </c>
      <c r="P328">
        <v>18144</v>
      </c>
      <c r="Q328">
        <v>0</v>
      </c>
      <c r="R328">
        <v>0</v>
      </c>
      <c r="S328">
        <f t="shared" si="5"/>
        <v>18144</v>
      </c>
      <c r="T328">
        <v>0</v>
      </c>
      <c r="U328">
        <v>0</v>
      </c>
      <c r="V328">
        <v>0</v>
      </c>
      <c r="W328">
        <v>201085</v>
      </c>
    </row>
    <row r="329" spans="1:23" ht="12.75">
      <c r="A329" t="s">
        <v>3052</v>
      </c>
      <c r="B329" t="s">
        <v>3053</v>
      </c>
      <c r="C329" t="s">
        <v>1589</v>
      </c>
      <c r="D329" t="s">
        <v>3054</v>
      </c>
      <c r="F329" t="s">
        <v>1592</v>
      </c>
      <c r="G329">
        <v>0</v>
      </c>
      <c r="H329">
        <v>0</v>
      </c>
      <c r="I329">
        <v>3</v>
      </c>
      <c r="J329">
        <v>0</v>
      </c>
      <c r="K329">
        <v>72972</v>
      </c>
      <c r="L329">
        <v>831</v>
      </c>
      <c r="M329">
        <v>9226</v>
      </c>
      <c r="N329">
        <v>0</v>
      </c>
      <c r="O329">
        <v>0</v>
      </c>
      <c r="P329">
        <v>15696</v>
      </c>
      <c r="Q329">
        <v>0</v>
      </c>
      <c r="R329">
        <v>0</v>
      </c>
      <c r="S329">
        <f t="shared" si="5"/>
        <v>15696</v>
      </c>
      <c r="T329">
        <v>0</v>
      </c>
      <c r="U329">
        <v>0</v>
      </c>
      <c r="V329">
        <v>0</v>
      </c>
      <c r="W329">
        <v>98725</v>
      </c>
    </row>
    <row r="330" spans="1:23" ht="12.75">
      <c r="A330" t="s">
        <v>3055</v>
      </c>
      <c r="B330" t="s">
        <v>3056</v>
      </c>
      <c r="C330" t="s">
        <v>1589</v>
      </c>
      <c r="D330" t="s">
        <v>3057</v>
      </c>
      <c r="F330" t="s">
        <v>1592</v>
      </c>
      <c r="G330">
        <v>1</v>
      </c>
      <c r="H330">
        <v>0</v>
      </c>
      <c r="I330">
        <v>1</v>
      </c>
      <c r="J330">
        <v>0</v>
      </c>
      <c r="K330">
        <v>106572</v>
      </c>
      <c r="L330">
        <v>0</v>
      </c>
      <c r="M330">
        <v>0</v>
      </c>
      <c r="N330">
        <v>0</v>
      </c>
      <c r="O330">
        <v>0</v>
      </c>
      <c r="P330">
        <v>40892</v>
      </c>
      <c r="Q330">
        <v>0</v>
      </c>
      <c r="R330">
        <v>0</v>
      </c>
      <c r="S330">
        <f t="shared" si="5"/>
        <v>40892</v>
      </c>
      <c r="T330">
        <v>0</v>
      </c>
      <c r="U330">
        <v>0</v>
      </c>
      <c r="V330">
        <v>1779</v>
      </c>
      <c r="W330">
        <v>149243</v>
      </c>
    </row>
    <row r="331" spans="1:23" ht="12.75">
      <c r="A331" t="s">
        <v>3058</v>
      </c>
      <c r="B331" t="s">
        <v>3059</v>
      </c>
      <c r="C331" t="s">
        <v>1589</v>
      </c>
      <c r="D331" t="s">
        <v>3060</v>
      </c>
      <c r="F331" t="s">
        <v>1592</v>
      </c>
      <c r="G331">
        <v>1</v>
      </c>
      <c r="H331">
        <v>0</v>
      </c>
      <c r="I331">
        <v>2</v>
      </c>
      <c r="J331">
        <v>0</v>
      </c>
      <c r="K331">
        <v>117000</v>
      </c>
      <c r="L331">
        <v>668</v>
      </c>
      <c r="M331">
        <v>0</v>
      </c>
      <c r="N331">
        <v>0</v>
      </c>
      <c r="O331">
        <v>0</v>
      </c>
      <c r="P331">
        <v>9941</v>
      </c>
      <c r="Q331">
        <v>0</v>
      </c>
      <c r="R331">
        <v>0</v>
      </c>
      <c r="S331">
        <f t="shared" si="5"/>
        <v>9941</v>
      </c>
      <c r="T331">
        <v>0</v>
      </c>
      <c r="U331">
        <v>0</v>
      </c>
      <c r="V331">
        <v>0</v>
      </c>
      <c r="W331">
        <v>127609</v>
      </c>
    </row>
    <row r="332" spans="1:23" ht="12.75">
      <c r="A332" t="s">
        <v>3063</v>
      </c>
      <c r="B332" t="s">
        <v>3064</v>
      </c>
      <c r="C332" t="s">
        <v>1589</v>
      </c>
      <c r="D332" t="s">
        <v>3065</v>
      </c>
      <c r="F332" t="s">
        <v>1592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956077</v>
      </c>
      <c r="P332">
        <v>0</v>
      </c>
      <c r="Q332">
        <v>0</v>
      </c>
      <c r="R332">
        <v>0</v>
      </c>
      <c r="S332">
        <f t="shared" si="5"/>
        <v>0</v>
      </c>
      <c r="T332">
        <v>0</v>
      </c>
      <c r="U332">
        <v>0</v>
      </c>
      <c r="V332">
        <v>0</v>
      </c>
      <c r="W332">
        <v>956077</v>
      </c>
    </row>
    <row r="333" spans="1:23" ht="12.75">
      <c r="A333" t="s">
        <v>3066</v>
      </c>
      <c r="B333" t="s">
        <v>3067</v>
      </c>
      <c r="C333" t="s">
        <v>1589</v>
      </c>
      <c r="D333" t="s">
        <v>3068</v>
      </c>
      <c r="F333" t="s">
        <v>1592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8520</v>
      </c>
      <c r="P333">
        <v>0</v>
      </c>
      <c r="Q333">
        <v>0</v>
      </c>
      <c r="R333">
        <v>0</v>
      </c>
      <c r="S333">
        <f t="shared" si="5"/>
        <v>0</v>
      </c>
      <c r="T333">
        <v>0</v>
      </c>
      <c r="U333">
        <v>0</v>
      </c>
      <c r="V333">
        <v>0</v>
      </c>
      <c r="W333">
        <v>8520</v>
      </c>
    </row>
    <row r="334" spans="1:23" ht="12.75">
      <c r="A334" t="s">
        <v>3069</v>
      </c>
      <c r="B334" t="s">
        <v>3070</v>
      </c>
      <c r="C334" t="s">
        <v>1589</v>
      </c>
      <c r="D334" t="s">
        <v>3071</v>
      </c>
      <c r="F334" t="s">
        <v>1592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16370</v>
      </c>
      <c r="Q334">
        <v>0</v>
      </c>
      <c r="R334">
        <v>0</v>
      </c>
      <c r="S334">
        <f t="shared" si="5"/>
        <v>16370</v>
      </c>
      <c r="T334">
        <v>0</v>
      </c>
      <c r="U334">
        <v>0</v>
      </c>
      <c r="V334">
        <v>0</v>
      </c>
      <c r="W334">
        <v>16370</v>
      </c>
    </row>
    <row r="335" spans="1:23" ht="12.75">
      <c r="A335" t="s">
        <v>3072</v>
      </c>
      <c r="B335" t="s">
        <v>3073</v>
      </c>
      <c r="C335" t="s">
        <v>3074</v>
      </c>
      <c r="D335" t="s">
        <v>3075</v>
      </c>
      <c r="F335" t="s">
        <v>1592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198989</v>
      </c>
      <c r="P335">
        <v>0</v>
      </c>
      <c r="Q335">
        <v>0</v>
      </c>
      <c r="R335">
        <v>0</v>
      </c>
      <c r="S335">
        <f t="shared" si="5"/>
        <v>0</v>
      </c>
      <c r="T335">
        <v>0</v>
      </c>
      <c r="U335">
        <v>0</v>
      </c>
      <c r="V335">
        <v>0</v>
      </c>
      <c r="W335">
        <v>198989</v>
      </c>
    </row>
    <row r="336" spans="1:23" ht="12.75">
      <c r="A336" t="s">
        <v>3076</v>
      </c>
      <c r="B336" t="s">
        <v>3077</v>
      </c>
      <c r="C336" t="s">
        <v>1589</v>
      </c>
      <c r="D336" t="s">
        <v>3078</v>
      </c>
      <c r="F336" t="s">
        <v>1592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12855</v>
      </c>
      <c r="M336">
        <v>0</v>
      </c>
      <c r="N336">
        <v>0</v>
      </c>
      <c r="O336">
        <v>7200</v>
      </c>
      <c r="P336">
        <v>0</v>
      </c>
      <c r="Q336">
        <v>0</v>
      </c>
      <c r="R336">
        <v>0</v>
      </c>
      <c r="S336">
        <f t="shared" si="5"/>
        <v>0</v>
      </c>
      <c r="T336">
        <v>0</v>
      </c>
      <c r="U336">
        <v>0</v>
      </c>
      <c r="V336">
        <v>0</v>
      </c>
      <c r="W336">
        <v>20055</v>
      </c>
    </row>
    <row r="337" spans="1:23" ht="12.75">
      <c r="A337" t="s">
        <v>3079</v>
      </c>
      <c r="B337" t="s">
        <v>3080</v>
      </c>
      <c r="C337" t="s">
        <v>1589</v>
      </c>
      <c r="D337" t="s">
        <v>3081</v>
      </c>
      <c r="F337" t="s">
        <v>1592</v>
      </c>
      <c r="G337">
        <v>1</v>
      </c>
      <c r="H337">
        <v>0</v>
      </c>
      <c r="I337">
        <v>1.418</v>
      </c>
      <c r="J337">
        <v>0</v>
      </c>
      <c r="K337">
        <v>75432</v>
      </c>
      <c r="L337">
        <v>0</v>
      </c>
      <c r="M337">
        <v>1217</v>
      </c>
      <c r="N337">
        <v>0</v>
      </c>
      <c r="O337">
        <v>0</v>
      </c>
      <c r="P337">
        <v>9098</v>
      </c>
      <c r="Q337">
        <v>0</v>
      </c>
      <c r="R337">
        <v>0</v>
      </c>
      <c r="S337">
        <f t="shared" si="5"/>
        <v>9098</v>
      </c>
      <c r="T337">
        <v>0</v>
      </c>
      <c r="U337">
        <v>0</v>
      </c>
      <c r="V337">
        <v>1000</v>
      </c>
      <c r="W337">
        <v>86747</v>
      </c>
    </row>
    <row r="338" spans="1:23" ht="12.75">
      <c r="A338" t="s">
        <v>3082</v>
      </c>
      <c r="B338" t="s">
        <v>3083</v>
      </c>
      <c r="C338" t="s">
        <v>1589</v>
      </c>
      <c r="D338" t="s">
        <v>3084</v>
      </c>
      <c r="F338" t="s">
        <v>1592</v>
      </c>
      <c r="G338">
        <v>1</v>
      </c>
      <c r="H338">
        <v>0</v>
      </c>
      <c r="I338">
        <v>17</v>
      </c>
      <c r="J338">
        <v>0</v>
      </c>
      <c r="K338">
        <v>457800</v>
      </c>
      <c r="L338">
        <v>0</v>
      </c>
      <c r="M338">
        <v>59632</v>
      </c>
      <c r="N338">
        <v>0</v>
      </c>
      <c r="O338">
        <v>0</v>
      </c>
      <c r="P338">
        <v>141079</v>
      </c>
      <c r="Q338">
        <v>0</v>
      </c>
      <c r="R338">
        <v>0</v>
      </c>
      <c r="S338">
        <f t="shared" si="5"/>
        <v>141079</v>
      </c>
      <c r="T338">
        <v>0</v>
      </c>
      <c r="U338">
        <v>0</v>
      </c>
      <c r="V338">
        <v>0</v>
      </c>
      <c r="W338">
        <v>658511</v>
      </c>
    </row>
    <row r="339" spans="1:23" ht="12.75">
      <c r="A339" t="s">
        <v>3085</v>
      </c>
      <c r="B339" t="s">
        <v>3086</v>
      </c>
      <c r="C339" t="s">
        <v>1589</v>
      </c>
      <c r="D339" t="s">
        <v>3087</v>
      </c>
      <c r="F339" t="s">
        <v>1592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17330</v>
      </c>
      <c r="Q339">
        <v>0</v>
      </c>
      <c r="R339">
        <v>0</v>
      </c>
      <c r="S339">
        <f t="shared" si="5"/>
        <v>17330</v>
      </c>
      <c r="T339">
        <v>0</v>
      </c>
      <c r="U339">
        <v>0</v>
      </c>
      <c r="V339">
        <v>0</v>
      </c>
      <c r="W339">
        <v>17330</v>
      </c>
    </row>
    <row r="340" spans="1:23" ht="12.75">
      <c r="A340" t="s">
        <v>3088</v>
      </c>
      <c r="B340" t="s">
        <v>3089</v>
      </c>
      <c r="C340" t="s">
        <v>1589</v>
      </c>
      <c r="D340" t="s">
        <v>3090</v>
      </c>
      <c r="F340" t="s">
        <v>1592</v>
      </c>
      <c r="G340">
        <v>1</v>
      </c>
      <c r="H340">
        <v>0</v>
      </c>
      <c r="I340">
        <v>2.525</v>
      </c>
      <c r="J340">
        <v>0</v>
      </c>
      <c r="K340">
        <v>141864</v>
      </c>
      <c r="L340">
        <v>0</v>
      </c>
      <c r="M340">
        <v>3226</v>
      </c>
      <c r="N340">
        <v>0</v>
      </c>
      <c r="O340">
        <v>0</v>
      </c>
      <c r="P340">
        <v>4422</v>
      </c>
      <c r="Q340">
        <v>0</v>
      </c>
      <c r="R340">
        <v>0</v>
      </c>
      <c r="S340">
        <f t="shared" si="5"/>
        <v>4422</v>
      </c>
      <c r="T340">
        <v>0</v>
      </c>
      <c r="U340">
        <v>0</v>
      </c>
      <c r="V340">
        <v>0</v>
      </c>
      <c r="W340">
        <v>149512</v>
      </c>
    </row>
    <row r="341" spans="1:23" ht="12.75">
      <c r="A341" t="s">
        <v>3091</v>
      </c>
      <c r="B341" t="s">
        <v>3092</v>
      </c>
      <c r="C341" t="s">
        <v>1589</v>
      </c>
      <c r="D341" t="s">
        <v>3093</v>
      </c>
      <c r="F341" t="s">
        <v>1592</v>
      </c>
      <c r="G341">
        <v>1</v>
      </c>
      <c r="H341">
        <v>0</v>
      </c>
      <c r="I341">
        <v>17</v>
      </c>
      <c r="J341">
        <v>0</v>
      </c>
      <c r="K341">
        <v>478680</v>
      </c>
      <c r="L341">
        <v>0</v>
      </c>
      <c r="M341">
        <v>2864</v>
      </c>
      <c r="N341">
        <v>0</v>
      </c>
      <c r="O341">
        <v>0</v>
      </c>
      <c r="P341">
        <v>48199</v>
      </c>
      <c r="Q341">
        <v>0</v>
      </c>
      <c r="R341">
        <v>0</v>
      </c>
      <c r="S341">
        <f t="shared" si="5"/>
        <v>48199</v>
      </c>
      <c r="T341">
        <v>0</v>
      </c>
      <c r="U341">
        <v>0</v>
      </c>
      <c r="V341">
        <v>500</v>
      </c>
      <c r="W341">
        <v>530243</v>
      </c>
    </row>
    <row r="342" spans="1:23" ht="12.75">
      <c r="A342" t="s">
        <v>3094</v>
      </c>
      <c r="B342" t="s">
        <v>3101</v>
      </c>
      <c r="C342" t="s">
        <v>1589</v>
      </c>
      <c r="D342" t="s">
        <v>3102</v>
      </c>
      <c r="F342" t="s">
        <v>1592</v>
      </c>
      <c r="G342">
        <v>1</v>
      </c>
      <c r="H342">
        <v>0</v>
      </c>
      <c r="I342">
        <v>4</v>
      </c>
      <c r="J342">
        <v>0</v>
      </c>
      <c r="K342">
        <v>193584</v>
      </c>
      <c r="L342">
        <v>0</v>
      </c>
      <c r="M342">
        <v>59596</v>
      </c>
      <c r="N342">
        <v>8667</v>
      </c>
      <c r="O342">
        <v>0</v>
      </c>
      <c r="P342">
        <v>10581</v>
      </c>
      <c r="Q342">
        <v>0</v>
      </c>
      <c r="R342">
        <v>0</v>
      </c>
      <c r="S342">
        <f t="shared" si="5"/>
        <v>10581</v>
      </c>
      <c r="T342">
        <v>0</v>
      </c>
      <c r="U342">
        <v>0</v>
      </c>
      <c r="V342">
        <v>0</v>
      </c>
      <c r="W342">
        <v>272428</v>
      </c>
    </row>
    <row r="343" spans="1:23" ht="12.75">
      <c r="A343" t="s">
        <v>3103</v>
      </c>
      <c r="B343" t="s">
        <v>3104</v>
      </c>
      <c r="C343" t="s">
        <v>1589</v>
      </c>
      <c r="D343" t="s">
        <v>3105</v>
      </c>
      <c r="F343" t="s">
        <v>1592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f t="shared" si="5"/>
        <v>0</v>
      </c>
      <c r="T343">
        <v>0</v>
      </c>
      <c r="U343">
        <v>0</v>
      </c>
      <c r="V343">
        <v>58000</v>
      </c>
      <c r="W343">
        <v>58000</v>
      </c>
    </row>
    <row r="344" spans="1:23" ht="12.75">
      <c r="A344" t="s">
        <v>3106</v>
      </c>
      <c r="B344" t="s">
        <v>3107</v>
      </c>
      <c r="C344" t="s">
        <v>1589</v>
      </c>
      <c r="D344" t="s">
        <v>3108</v>
      </c>
      <c r="F344" t="s">
        <v>1592</v>
      </c>
      <c r="G344">
        <v>0</v>
      </c>
      <c r="H344">
        <v>0</v>
      </c>
      <c r="I344">
        <v>1</v>
      </c>
      <c r="J344">
        <v>0</v>
      </c>
      <c r="K344">
        <v>25356</v>
      </c>
      <c r="L344">
        <v>0</v>
      </c>
      <c r="M344">
        <v>500</v>
      </c>
      <c r="N344">
        <v>0</v>
      </c>
      <c r="O344">
        <v>0</v>
      </c>
      <c r="P344">
        <v>2659</v>
      </c>
      <c r="Q344">
        <v>0</v>
      </c>
      <c r="R344">
        <v>0</v>
      </c>
      <c r="S344">
        <f t="shared" si="5"/>
        <v>2659</v>
      </c>
      <c r="T344">
        <v>0</v>
      </c>
      <c r="U344">
        <v>0</v>
      </c>
      <c r="V344">
        <v>100</v>
      </c>
      <c r="W344">
        <v>28615</v>
      </c>
    </row>
    <row r="345" spans="1:23" ht="12.75">
      <c r="A345" t="s">
        <v>3109</v>
      </c>
      <c r="B345" t="s">
        <v>3110</v>
      </c>
      <c r="C345" t="s">
        <v>1589</v>
      </c>
      <c r="D345" t="s">
        <v>3111</v>
      </c>
      <c r="F345" t="s">
        <v>1592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6985</v>
      </c>
      <c r="Q345">
        <v>0</v>
      </c>
      <c r="R345">
        <v>0</v>
      </c>
      <c r="S345">
        <f t="shared" si="5"/>
        <v>6985</v>
      </c>
      <c r="T345">
        <v>0</v>
      </c>
      <c r="U345">
        <v>0</v>
      </c>
      <c r="V345">
        <v>0</v>
      </c>
      <c r="W345">
        <v>6985</v>
      </c>
    </row>
    <row r="346" spans="1:23" ht="12.75">
      <c r="A346" t="s">
        <v>3112</v>
      </c>
      <c r="B346" t="s">
        <v>3113</v>
      </c>
      <c r="C346" t="s">
        <v>1589</v>
      </c>
      <c r="D346" t="s">
        <v>3114</v>
      </c>
      <c r="F346" t="s">
        <v>1592</v>
      </c>
      <c r="G346">
        <v>0</v>
      </c>
      <c r="H346">
        <v>0</v>
      </c>
      <c r="I346">
        <v>3</v>
      </c>
      <c r="J346">
        <v>0</v>
      </c>
      <c r="K346">
        <v>75960</v>
      </c>
      <c r="L346">
        <v>0</v>
      </c>
      <c r="M346">
        <v>4500</v>
      </c>
      <c r="N346">
        <v>0</v>
      </c>
      <c r="O346">
        <v>0</v>
      </c>
      <c r="P346">
        <v>8000</v>
      </c>
      <c r="Q346">
        <v>0</v>
      </c>
      <c r="R346">
        <v>0</v>
      </c>
      <c r="S346">
        <f t="shared" si="5"/>
        <v>8000</v>
      </c>
      <c r="T346">
        <v>0</v>
      </c>
      <c r="U346">
        <v>0</v>
      </c>
      <c r="V346">
        <v>0</v>
      </c>
      <c r="W346">
        <v>88460</v>
      </c>
    </row>
    <row r="347" spans="1:23" ht="12.75">
      <c r="A347" t="s">
        <v>3115</v>
      </c>
      <c r="B347" t="s">
        <v>3116</v>
      </c>
      <c r="C347" t="s">
        <v>1589</v>
      </c>
      <c r="D347" t="s">
        <v>3117</v>
      </c>
      <c r="F347" t="s">
        <v>1592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2575</v>
      </c>
      <c r="Q347">
        <v>0</v>
      </c>
      <c r="R347">
        <v>0</v>
      </c>
      <c r="S347">
        <f t="shared" si="5"/>
        <v>2575</v>
      </c>
      <c r="T347">
        <v>0</v>
      </c>
      <c r="U347">
        <v>0</v>
      </c>
      <c r="V347">
        <v>0</v>
      </c>
      <c r="W347">
        <v>2575</v>
      </c>
    </row>
    <row r="348" spans="1:23" ht="12.75">
      <c r="A348" t="s">
        <v>3118</v>
      </c>
      <c r="B348" t="s">
        <v>3119</v>
      </c>
      <c r="C348" t="s">
        <v>1589</v>
      </c>
      <c r="D348" t="s">
        <v>3120</v>
      </c>
      <c r="F348" t="s">
        <v>1592</v>
      </c>
      <c r="G348">
        <v>0</v>
      </c>
      <c r="H348">
        <v>0</v>
      </c>
      <c r="I348">
        <v>0</v>
      </c>
      <c r="J348">
        <v>0.75</v>
      </c>
      <c r="K348">
        <v>24588</v>
      </c>
      <c r="L348">
        <v>0</v>
      </c>
      <c r="M348">
        <v>0</v>
      </c>
      <c r="N348">
        <v>0</v>
      </c>
      <c r="O348">
        <v>0</v>
      </c>
      <c r="P348">
        <v>33726</v>
      </c>
      <c r="Q348">
        <v>0</v>
      </c>
      <c r="R348">
        <v>0</v>
      </c>
      <c r="S348">
        <f t="shared" si="5"/>
        <v>33726</v>
      </c>
      <c r="T348">
        <v>0</v>
      </c>
      <c r="U348">
        <v>0</v>
      </c>
      <c r="V348">
        <v>15000</v>
      </c>
      <c r="W348">
        <v>73314</v>
      </c>
    </row>
    <row r="349" spans="1:23" ht="12.75">
      <c r="A349" t="s">
        <v>3121</v>
      </c>
      <c r="B349" t="s">
        <v>3122</v>
      </c>
      <c r="C349" t="s">
        <v>1589</v>
      </c>
      <c r="D349" t="s">
        <v>3123</v>
      </c>
      <c r="F349" t="s">
        <v>1592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6330</v>
      </c>
      <c r="Q349">
        <v>0</v>
      </c>
      <c r="R349">
        <v>0</v>
      </c>
      <c r="S349">
        <f t="shared" si="5"/>
        <v>6330</v>
      </c>
      <c r="T349">
        <v>0</v>
      </c>
      <c r="U349">
        <v>0</v>
      </c>
      <c r="V349">
        <v>0</v>
      </c>
      <c r="W349">
        <v>6330</v>
      </c>
    </row>
    <row r="350" spans="1:23" ht="12.75">
      <c r="A350" t="s">
        <v>3124</v>
      </c>
      <c r="B350" t="s">
        <v>3125</v>
      </c>
      <c r="C350" t="s">
        <v>1589</v>
      </c>
      <c r="D350" t="s">
        <v>3126</v>
      </c>
      <c r="F350" t="s">
        <v>1592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100000</v>
      </c>
      <c r="Q350">
        <v>0</v>
      </c>
      <c r="R350">
        <v>0</v>
      </c>
      <c r="S350">
        <f t="shared" si="5"/>
        <v>100000</v>
      </c>
      <c r="T350">
        <v>808060</v>
      </c>
      <c r="U350">
        <v>0</v>
      </c>
      <c r="V350">
        <v>0</v>
      </c>
      <c r="W350">
        <v>908060</v>
      </c>
    </row>
    <row r="351" spans="1:23" ht="12.75">
      <c r="A351" t="s">
        <v>3127</v>
      </c>
      <c r="B351" t="s">
        <v>3128</v>
      </c>
      <c r="C351" t="s">
        <v>1589</v>
      </c>
      <c r="D351" t="s">
        <v>3129</v>
      </c>
      <c r="F351" t="s">
        <v>1592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f t="shared" si="5"/>
        <v>0</v>
      </c>
      <c r="T351">
        <v>360000</v>
      </c>
      <c r="U351">
        <v>0</v>
      </c>
      <c r="V351">
        <v>0</v>
      </c>
      <c r="W351">
        <v>360000</v>
      </c>
    </row>
    <row r="352" spans="1:23" ht="12.75">
      <c r="A352" t="s">
        <v>3130</v>
      </c>
      <c r="B352" t="s">
        <v>3131</v>
      </c>
      <c r="C352" t="s">
        <v>1589</v>
      </c>
      <c r="D352" t="s">
        <v>3132</v>
      </c>
      <c r="F352" t="s">
        <v>1592</v>
      </c>
      <c r="G352">
        <v>0</v>
      </c>
      <c r="H352">
        <v>0</v>
      </c>
      <c r="I352">
        <v>1</v>
      </c>
      <c r="J352">
        <v>0</v>
      </c>
      <c r="K352">
        <v>16560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f t="shared" si="5"/>
        <v>0</v>
      </c>
      <c r="T352">
        <v>0</v>
      </c>
      <c r="U352">
        <v>0</v>
      </c>
      <c r="V352">
        <v>0</v>
      </c>
      <c r="W352">
        <v>16560</v>
      </c>
    </row>
    <row r="353" spans="1:23" ht="12.75">
      <c r="A353" t="s">
        <v>3133</v>
      </c>
      <c r="B353" t="s">
        <v>3134</v>
      </c>
      <c r="C353" t="s">
        <v>1589</v>
      </c>
      <c r="D353" t="s">
        <v>3135</v>
      </c>
      <c r="F353" t="s">
        <v>1592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23750</v>
      </c>
      <c r="N353">
        <v>0</v>
      </c>
      <c r="O353">
        <v>0</v>
      </c>
      <c r="P353">
        <v>69031</v>
      </c>
      <c r="Q353">
        <v>0</v>
      </c>
      <c r="R353">
        <v>0</v>
      </c>
      <c r="S353">
        <f t="shared" si="5"/>
        <v>69031</v>
      </c>
      <c r="T353">
        <v>0</v>
      </c>
      <c r="U353">
        <v>0</v>
      </c>
      <c r="V353">
        <v>0</v>
      </c>
      <c r="W353">
        <v>92781</v>
      </c>
    </row>
    <row r="354" spans="1:23" ht="12.75">
      <c r="A354" t="s">
        <v>3136</v>
      </c>
      <c r="B354" t="s">
        <v>3137</v>
      </c>
      <c r="C354" t="s">
        <v>1589</v>
      </c>
      <c r="D354" t="s">
        <v>3138</v>
      </c>
      <c r="F354" t="s">
        <v>1592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9009</v>
      </c>
      <c r="N354">
        <v>0</v>
      </c>
      <c r="O354">
        <v>0</v>
      </c>
      <c r="P354">
        <v>97791</v>
      </c>
      <c r="Q354">
        <v>0</v>
      </c>
      <c r="R354">
        <v>0</v>
      </c>
      <c r="S354">
        <f t="shared" si="5"/>
        <v>97791</v>
      </c>
      <c r="T354">
        <v>0</v>
      </c>
      <c r="U354">
        <v>0</v>
      </c>
      <c r="V354">
        <v>0</v>
      </c>
      <c r="W354">
        <v>106800</v>
      </c>
    </row>
    <row r="355" spans="1:23" ht="12.75">
      <c r="A355" t="s">
        <v>3139</v>
      </c>
      <c r="B355" t="s">
        <v>3140</v>
      </c>
      <c r="C355" t="s">
        <v>1589</v>
      </c>
      <c r="D355" t="s">
        <v>3141</v>
      </c>
      <c r="F355" t="s">
        <v>1592</v>
      </c>
      <c r="G355">
        <v>1</v>
      </c>
      <c r="H355">
        <v>0</v>
      </c>
      <c r="I355">
        <v>16</v>
      </c>
      <c r="J355">
        <v>0</v>
      </c>
      <c r="K355">
        <v>419304</v>
      </c>
      <c r="L355">
        <v>0</v>
      </c>
      <c r="M355">
        <v>0</v>
      </c>
      <c r="N355">
        <v>0</v>
      </c>
      <c r="O355">
        <v>0</v>
      </c>
      <c r="P355">
        <v>191210</v>
      </c>
      <c r="Q355">
        <v>0</v>
      </c>
      <c r="R355">
        <v>0</v>
      </c>
      <c r="S355">
        <f t="shared" si="5"/>
        <v>191210</v>
      </c>
      <c r="T355">
        <v>0</v>
      </c>
      <c r="U355">
        <v>0</v>
      </c>
      <c r="V355">
        <v>0</v>
      </c>
      <c r="W355">
        <v>610514</v>
      </c>
    </row>
    <row r="356" spans="1:23" ht="12.75">
      <c r="A356" t="s">
        <v>3142</v>
      </c>
      <c r="B356" t="s">
        <v>3143</v>
      </c>
      <c r="C356" t="s">
        <v>1589</v>
      </c>
      <c r="D356" t="s">
        <v>3144</v>
      </c>
      <c r="F356" t="s">
        <v>1592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1000</v>
      </c>
      <c r="N356">
        <v>0</v>
      </c>
      <c r="O356">
        <v>0</v>
      </c>
      <c r="P356">
        <v>2700</v>
      </c>
      <c r="Q356">
        <v>0</v>
      </c>
      <c r="R356">
        <v>0</v>
      </c>
      <c r="S356">
        <f t="shared" si="5"/>
        <v>2700</v>
      </c>
      <c r="T356">
        <v>0</v>
      </c>
      <c r="U356">
        <v>0</v>
      </c>
      <c r="V356">
        <v>0</v>
      </c>
      <c r="W356">
        <v>3700</v>
      </c>
    </row>
    <row r="357" spans="1:23" ht="12.75">
      <c r="A357" t="s">
        <v>3145</v>
      </c>
      <c r="B357" t="s">
        <v>3146</v>
      </c>
      <c r="C357" t="s">
        <v>1589</v>
      </c>
      <c r="D357" t="s">
        <v>3147</v>
      </c>
      <c r="F357" t="s">
        <v>1592</v>
      </c>
      <c r="G357">
        <v>1</v>
      </c>
      <c r="H357">
        <v>0</v>
      </c>
      <c r="I357">
        <v>4</v>
      </c>
      <c r="J357">
        <v>0</v>
      </c>
      <c r="K357">
        <v>146940</v>
      </c>
      <c r="L357">
        <v>0</v>
      </c>
      <c r="M357">
        <v>16262</v>
      </c>
      <c r="N357">
        <v>0</v>
      </c>
      <c r="O357">
        <v>0</v>
      </c>
      <c r="P357">
        <v>14254</v>
      </c>
      <c r="Q357">
        <v>0</v>
      </c>
      <c r="R357">
        <v>0</v>
      </c>
      <c r="S357">
        <f t="shared" si="5"/>
        <v>14254</v>
      </c>
      <c r="T357">
        <v>0</v>
      </c>
      <c r="U357">
        <v>0</v>
      </c>
      <c r="V357">
        <v>0</v>
      </c>
      <c r="W357">
        <v>177456</v>
      </c>
    </row>
    <row r="358" spans="1:23" ht="12.75">
      <c r="A358" t="s">
        <v>3148</v>
      </c>
      <c r="B358" t="s">
        <v>3149</v>
      </c>
      <c r="C358" t="s">
        <v>1589</v>
      </c>
      <c r="D358" t="s">
        <v>3150</v>
      </c>
      <c r="F358" t="s">
        <v>1592</v>
      </c>
      <c r="G358">
        <v>0</v>
      </c>
      <c r="H358">
        <v>0</v>
      </c>
      <c r="I358">
        <v>1</v>
      </c>
      <c r="J358">
        <v>0</v>
      </c>
      <c r="K358">
        <v>20256</v>
      </c>
      <c r="L358">
        <v>0</v>
      </c>
      <c r="M358">
        <v>1336</v>
      </c>
      <c r="N358">
        <v>0</v>
      </c>
      <c r="O358">
        <v>0</v>
      </c>
      <c r="P358">
        <v>3500</v>
      </c>
      <c r="Q358">
        <v>0</v>
      </c>
      <c r="R358">
        <v>0</v>
      </c>
      <c r="S358">
        <f t="shared" si="5"/>
        <v>3500</v>
      </c>
      <c r="T358">
        <v>0</v>
      </c>
      <c r="U358">
        <v>0</v>
      </c>
      <c r="V358">
        <v>0</v>
      </c>
      <c r="W358">
        <v>25092</v>
      </c>
    </row>
    <row r="359" spans="1:23" ht="12.75">
      <c r="A359" t="s">
        <v>3151</v>
      </c>
      <c r="B359" t="s">
        <v>3152</v>
      </c>
      <c r="C359" t="s">
        <v>1589</v>
      </c>
      <c r="D359" t="s">
        <v>3153</v>
      </c>
      <c r="F359" t="s">
        <v>1592</v>
      </c>
      <c r="G359">
        <v>1</v>
      </c>
      <c r="H359">
        <v>0</v>
      </c>
      <c r="I359">
        <v>6</v>
      </c>
      <c r="J359">
        <v>0</v>
      </c>
      <c r="K359">
        <v>226320</v>
      </c>
      <c r="L359">
        <v>0</v>
      </c>
      <c r="M359">
        <v>8569</v>
      </c>
      <c r="N359">
        <v>0</v>
      </c>
      <c r="O359">
        <v>0</v>
      </c>
      <c r="P359">
        <v>13066</v>
      </c>
      <c r="Q359">
        <v>0</v>
      </c>
      <c r="R359">
        <v>0</v>
      </c>
      <c r="S359">
        <f t="shared" si="5"/>
        <v>13066</v>
      </c>
      <c r="T359">
        <v>0</v>
      </c>
      <c r="U359">
        <v>0</v>
      </c>
      <c r="V359">
        <v>0</v>
      </c>
      <c r="W359">
        <v>247955</v>
      </c>
    </row>
    <row r="360" spans="1:23" ht="12.75">
      <c r="A360" t="s">
        <v>3154</v>
      </c>
      <c r="B360" t="s">
        <v>3155</v>
      </c>
      <c r="C360" t="s">
        <v>1589</v>
      </c>
      <c r="D360" t="s">
        <v>3156</v>
      </c>
      <c r="F360" t="s">
        <v>1592</v>
      </c>
      <c r="G360">
        <v>0</v>
      </c>
      <c r="H360">
        <v>0</v>
      </c>
      <c r="I360">
        <v>0.582</v>
      </c>
      <c r="J360">
        <v>0</v>
      </c>
      <c r="K360">
        <v>10848</v>
      </c>
      <c r="L360">
        <v>0</v>
      </c>
      <c r="M360">
        <v>504</v>
      </c>
      <c r="N360">
        <v>0</v>
      </c>
      <c r="O360">
        <v>0</v>
      </c>
      <c r="P360">
        <v>4648</v>
      </c>
      <c r="Q360">
        <v>0</v>
      </c>
      <c r="R360">
        <v>0</v>
      </c>
      <c r="S360">
        <f t="shared" si="5"/>
        <v>4648</v>
      </c>
      <c r="T360">
        <v>0</v>
      </c>
      <c r="U360">
        <v>0</v>
      </c>
      <c r="V360">
        <v>0</v>
      </c>
      <c r="W360">
        <v>16000</v>
      </c>
    </row>
    <row r="361" spans="1:23" ht="12.75">
      <c r="A361" t="s">
        <v>3157</v>
      </c>
      <c r="B361" t="s">
        <v>3158</v>
      </c>
      <c r="C361" t="s">
        <v>1589</v>
      </c>
      <c r="D361" t="s">
        <v>3159</v>
      </c>
      <c r="F361" t="s">
        <v>1592</v>
      </c>
      <c r="G361">
        <v>0</v>
      </c>
      <c r="H361">
        <v>0</v>
      </c>
      <c r="I361">
        <v>2.95</v>
      </c>
      <c r="J361">
        <v>0</v>
      </c>
      <c r="K361">
        <v>85656</v>
      </c>
      <c r="L361">
        <v>0</v>
      </c>
      <c r="M361">
        <v>13279</v>
      </c>
      <c r="N361">
        <v>0</v>
      </c>
      <c r="O361">
        <v>0</v>
      </c>
      <c r="P361">
        <v>11205</v>
      </c>
      <c r="Q361">
        <v>0</v>
      </c>
      <c r="R361">
        <v>0</v>
      </c>
      <c r="S361">
        <f t="shared" si="5"/>
        <v>11205</v>
      </c>
      <c r="T361">
        <v>0</v>
      </c>
      <c r="U361">
        <v>0</v>
      </c>
      <c r="V361">
        <v>0</v>
      </c>
      <c r="W361">
        <v>110140</v>
      </c>
    </row>
    <row r="362" spans="1:23" ht="12.75">
      <c r="A362" t="s">
        <v>3160</v>
      </c>
      <c r="B362" t="s">
        <v>3161</v>
      </c>
      <c r="C362" t="s">
        <v>1589</v>
      </c>
      <c r="D362" t="s">
        <v>3162</v>
      </c>
      <c r="F362" t="s">
        <v>1592</v>
      </c>
      <c r="G362">
        <v>0</v>
      </c>
      <c r="H362">
        <v>0</v>
      </c>
      <c r="I362">
        <v>1</v>
      </c>
      <c r="J362">
        <v>0</v>
      </c>
      <c r="K362">
        <v>30792</v>
      </c>
      <c r="L362">
        <v>0</v>
      </c>
      <c r="M362">
        <v>0</v>
      </c>
      <c r="N362">
        <v>0</v>
      </c>
      <c r="O362">
        <v>0</v>
      </c>
      <c r="P362">
        <v>748</v>
      </c>
      <c r="Q362">
        <v>0</v>
      </c>
      <c r="R362">
        <v>0</v>
      </c>
      <c r="S362">
        <f t="shared" si="5"/>
        <v>748</v>
      </c>
      <c r="T362">
        <v>0</v>
      </c>
      <c r="U362">
        <v>0</v>
      </c>
      <c r="V362">
        <v>0</v>
      </c>
      <c r="W362">
        <v>31540</v>
      </c>
    </row>
    <row r="363" spans="1:23" ht="12.75">
      <c r="A363" t="s">
        <v>3163</v>
      </c>
      <c r="B363" t="s">
        <v>3164</v>
      </c>
      <c r="C363" t="s">
        <v>3074</v>
      </c>
      <c r="D363" t="s">
        <v>3165</v>
      </c>
      <c r="F363" t="s">
        <v>1592</v>
      </c>
      <c r="G363">
        <v>1</v>
      </c>
      <c r="H363">
        <v>0</v>
      </c>
      <c r="I363">
        <v>12</v>
      </c>
      <c r="J363">
        <v>0</v>
      </c>
      <c r="K363">
        <v>599556</v>
      </c>
      <c r="L363">
        <v>0</v>
      </c>
      <c r="M363">
        <v>129650</v>
      </c>
      <c r="N363">
        <v>0</v>
      </c>
      <c r="O363">
        <v>0</v>
      </c>
      <c r="P363">
        <v>89159</v>
      </c>
      <c r="Q363">
        <v>0</v>
      </c>
      <c r="R363">
        <v>0</v>
      </c>
      <c r="S363">
        <f t="shared" si="5"/>
        <v>89159</v>
      </c>
      <c r="T363">
        <v>0</v>
      </c>
      <c r="U363">
        <v>0</v>
      </c>
      <c r="V363">
        <v>94094</v>
      </c>
      <c r="W363">
        <v>912459</v>
      </c>
    </row>
    <row r="364" spans="1:23" ht="12.75">
      <c r="A364" t="s">
        <v>3166</v>
      </c>
      <c r="B364" t="s">
        <v>3167</v>
      </c>
      <c r="C364" t="s">
        <v>1589</v>
      </c>
      <c r="D364" t="s">
        <v>3168</v>
      </c>
      <c r="F364" t="s">
        <v>1592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20849</v>
      </c>
      <c r="Q364">
        <v>0</v>
      </c>
      <c r="R364">
        <v>0</v>
      </c>
      <c r="S364">
        <f t="shared" si="5"/>
        <v>20849</v>
      </c>
      <c r="T364">
        <v>0</v>
      </c>
      <c r="U364">
        <v>0</v>
      </c>
      <c r="V364">
        <v>0</v>
      </c>
      <c r="W364">
        <v>20849</v>
      </c>
    </row>
    <row r="365" spans="1:23" ht="12.75">
      <c r="A365" t="s">
        <v>3169</v>
      </c>
      <c r="B365" t="s">
        <v>3170</v>
      </c>
      <c r="C365" t="s">
        <v>1589</v>
      </c>
      <c r="D365" t="s">
        <v>3171</v>
      </c>
      <c r="F365" t="s">
        <v>1592</v>
      </c>
      <c r="G365">
        <v>0</v>
      </c>
      <c r="H365">
        <v>0</v>
      </c>
      <c r="I365">
        <v>7</v>
      </c>
      <c r="J365">
        <v>0</v>
      </c>
      <c r="K365">
        <v>180852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f t="shared" si="5"/>
        <v>0</v>
      </c>
      <c r="T365">
        <v>0</v>
      </c>
      <c r="U365">
        <v>0</v>
      </c>
      <c r="V365">
        <v>0</v>
      </c>
      <c r="W365">
        <v>180852</v>
      </c>
    </row>
    <row r="366" spans="1:23" ht="12.75">
      <c r="A366" t="s">
        <v>3172</v>
      </c>
      <c r="B366" t="s">
        <v>3173</v>
      </c>
      <c r="C366" t="s">
        <v>1589</v>
      </c>
      <c r="D366" t="s">
        <v>3174</v>
      </c>
      <c r="F366" t="s">
        <v>1592</v>
      </c>
      <c r="G366">
        <v>0</v>
      </c>
      <c r="H366">
        <v>0.546</v>
      </c>
      <c r="I366">
        <v>0</v>
      </c>
      <c r="J366">
        <v>0</v>
      </c>
      <c r="K366">
        <v>30408</v>
      </c>
      <c r="L366">
        <v>0</v>
      </c>
      <c r="M366">
        <v>737</v>
      </c>
      <c r="N366">
        <v>0</v>
      </c>
      <c r="O366">
        <v>0</v>
      </c>
      <c r="P366">
        <v>8000</v>
      </c>
      <c r="Q366">
        <v>0</v>
      </c>
      <c r="R366">
        <v>0</v>
      </c>
      <c r="S366">
        <f t="shared" si="5"/>
        <v>8000</v>
      </c>
      <c r="T366">
        <v>0</v>
      </c>
      <c r="U366">
        <v>0</v>
      </c>
      <c r="V366">
        <v>0</v>
      </c>
      <c r="W366">
        <v>39145</v>
      </c>
    </row>
    <row r="367" spans="1:23" ht="12.75">
      <c r="A367" t="s">
        <v>3175</v>
      </c>
      <c r="B367" t="s">
        <v>3176</v>
      </c>
      <c r="C367" t="s">
        <v>1589</v>
      </c>
      <c r="D367" t="s">
        <v>3177</v>
      </c>
      <c r="F367" t="s">
        <v>1592</v>
      </c>
      <c r="G367">
        <v>0</v>
      </c>
      <c r="H367">
        <v>1</v>
      </c>
      <c r="I367">
        <v>0</v>
      </c>
      <c r="J367">
        <v>0</v>
      </c>
      <c r="K367">
        <v>54636</v>
      </c>
      <c r="L367">
        <v>0</v>
      </c>
      <c r="M367">
        <v>0</v>
      </c>
      <c r="N367">
        <v>0</v>
      </c>
      <c r="O367">
        <v>0</v>
      </c>
      <c r="P367">
        <v>8000</v>
      </c>
      <c r="Q367">
        <v>0</v>
      </c>
      <c r="R367">
        <v>0</v>
      </c>
      <c r="S367">
        <f t="shared" si="5"/>
        <v>8000</v>
      </c>
      <c r="T367">
        <v>0</v>
      </c>
      <c r="U367">
        <v>0</v>
      </c>
      <c r="V367">
        <v>0</v>
      </c>
      <c r="W367">
        <v>62636</v>
      </c>
    </row>
    <row r="368" spans="1:23" ht="12.75">
      <c r="A368" t="s">
        <v>3178</v>
      </c>
      <c r="B368" t="s">
        <v>3179</v>
      </c>
      <c r="C368" t="s">
        <v>1589</v>
      </c>
      <c r="D368" t="s">
        <v>3180</v>
      </c>
      <c r="F368" t="s">
        <v>1592</v>
      </c>
      <c r="G368">
        <v>0</v>
      </c>
      <c r="H368">
        <v>0</v>
      </c>
      <c r="I368">
        <v>0.512</v>
      </c>
      <c r="J368">
        <v>0</v>
      </c>
      <c r="K368">
        <v>13728</v>
      </c>
      <c r="L368">
        <v>0</v>
      </c>
      <c r="M368">
        <v>0</v>
      </c>
      <c r="N368">
        <v>0</v>
      </c>
      <c r="O368">
        <v>0</v>
      </c>
      <c r="P368">
        <v>2646</v>
      </c>
      <c r="Q368">
        <v>0</v>
      </c>
      <c r="R368">
        <v>0</v>
      </c>
      <c r="S368">
        <f t="shared" si="5"/>
        <v>2646</v>
      </c>
      <c r="T368">
        <v>0</v>
      </c>
      <c r="U368">
        <v>0</v>
      </c>
      <c r="V368">
        <v>0</v>
      </c>
      <c r="W368">
        <v>16374</v>
      </c>
    </row>
    <row r="369" spans="1:23" ht="12.75">
      <c r="A369" t="s">
        <v>3181</v>
      </c>
      <c r="B369" t="s">
        <v>3182</v>
      </c>
      <c r="C369" t="s">
        <v>1589</v>
      </c>
      <c r="D369" t="s">
        <v>3183</v>
      </c>
      <c r="F369" t="s">
        <v>1592</v>
      </c>
      <c r="G369">
        <v>0</v>
      </c>
      <c r="H369">
        <v>0</v>
      </c>
      <c r="I369">
        <v>2</v>
      </c>
      <c r="J369">
        <v>0</v>
      </c>
      <c r="K369">
        <v>67452</v>
      </c>
      <c r="L369">
        <v>0</v>
      </c>
      <c r="M369">
        <v>21605</v>
      </c>
      <c r="N369">
        <v>26001</v>
      </c>
      <c r="O369">
        <v>0</v>
      </c>
      <c r="P369">
        <v>10021</v>
      </c>
      <c r="Q369">
        <v>0</v>
      </c>
      <c r="R369">
        <v>0</v>
      </c>
      <c r="S369">
        <f t="shared" si="5"/>
        <v>10021</v>
      </c>
      <c r="T369">
        <v>0</v>
      </c>
      <c r="U369">
        <v>0</v>
      </c>
      <c r="V369">
        <v>100</v>
      </c>
      <c r="W369">
        <v>125179</v>
      </c>
    </row>
    <row r="370" spans="1:23" ht="12.75">
      <c r="A370" t="s">
        <v>3184</v>
      </c>
      <c r="B370" t="s">
        <v>3185</v>
      </c>
      <c r="C370" t="s">
        <v>1589</v>
      </c>
      <c r="D370" t="s">
        <v>3186</v>
      </c>
      <c r="F370" t="s">
        <v>1592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5000</v>
      </c>
      <c r="N370">
        <v>0</v>
      </c>
      <c r="O370">
        <v>0</v>
      </c>
      <c r="P370">
        <v>25249</v>
      </c>
      <c r="Q370">
        <v>0</v>
      </c>
      <c r="R370">
        <v>0</v>
      </c>
      <c r="S370">
        <f t="shared" si="5"/>
        <v>25249</v>
      </c>
      <c r="T370">
        <v>0</v>
      </c>
      <c r="U370">
        <v>0</v>
      </c>
      <c r="V370">
        <v>0</v>
      </c>
      <c r="W370">
        <v>30249</v>
      </c>
    </row>
    <row r="371" spans="1:23" ht="12.75">
      <c r="A371" t="s">
        <v>2031</v>
      </c>
      <c r="B371" t="s">
        <v>2032</v>
      </c>
      <c r="C371" t="s">
        <v>1589</v>
      </c>
      <c r="D371" t="s">
        <v>2033</v>
      </c>
      <c r="F371" t="s">
        <v>1592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1733355</v>
      </c>
      <c r="P371">
        <v>0</v>
      </c>
      <c r="Q371">
        <v>0</v>
      </c>
      <c r="R371">
        <v>0</v>
      </c>
      <c r="S371">
        <f t="shared" si="5"/>
        <v>0</v>
      </c>
      <c r="T371">
        <v>0</v>
      </c>
      <c r="U371">
        <v>0</v>
      </c>
      <c r="V371">
        <v>0</v>
      </c>
      <c r="W371">
        <v>1733355</v>
      </c>
    </row>
    <row r="372" spans="1:23" ht="12.75">
      <c r="A372" t="s">
        <v>2034</v>
      </c>
      <c r="B372" t="s">
        <v>2035</v>
      </c>
      <c r="C372" t="s">
        <v>1589</v>
      </c>
      <c r="D372" t="s">
        <v>2036</v>
      </c>
      <c r="F372" t="s">
        <v>1592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45075</v>
      </c>
      <c r="M372">
        <v>0</v>
      </c>
      <c r="N372">
        <v>0</v>
      </c>
      <c r="O372">
        <v>13800</v>
      </c>
      <c r="P372">
        <v>0</v>
      </c>
      <c r="Q372">
        <v>0</v>
      </c>
      <c r="R372">
        <v>0</v>
      </c>
      <c r="S372">
        <f t="shared" si="5"/>
        <v>0</v>
      </c>
      <c r="T372">
        <v>0</v>
      </c>
      <c r="U372">
        <v>0</v>
      </c>
      <c r="V372">
        <v>0</v>
      </c>
      <c r="W372">
        <v>58875</v>
      </c>
    </row>
    <row r="373" spans="1:23" ht="12.75">
      <c r="A373" t="s">
        <v>2037</v>
      </c>
      <c r="B373" t="s">
        <v>2038</v>
      </c>
      <c r="C373" t="s">
        <v>1589</v>
      </c>
      <c r="D373" t="s">
        <v>2039</v>
      </c>
      <c r="F373" t="s">
        <v>1592</v>
      </c>
      <c r="G373">
        <v>0</v>
      </c>
      <c r="H373">
        <v>0</v>
      </c>
      <c r="I373">
        <v>11</v>
      </c>
      <c r="J373">
        <v>0</v>
      </c>
      <c r="K373">
        <v>376620</v>
      </c>
      <c r="L373">
        <v>0</v>
      </c>
      <c r="M373">
        <v>0</v>
      </c>
      <c r="N373">
        <v>0</v>
      </c>
      <c r="O373">
        <v>0</v>
      </c>
      <c r="P373">
        <v>2650</v>
      </c>
      <c r="Q373">
        <v>0</v>
      </c>
      <c r="R373">
        <v>0</v>
      </c>
      <c r="S373">
        <f t="shared" si="5"/>
        <v>2650</v>
      </c>
      <c r="T373">
        <v>0</v>
      </c>
      <c r="U373">
        <v>0</v>
      </c>
      <c r="V373">
        <v>0</v>
      </c>
      <c r="W373">
        <v>379270</v>
      </c>
    </row>
    <row r="374" spans="1:23" ht="12.75">
      <c r="A374" t="s">
        <v>2041</v>
      </c>
      <c r="B374" t="s">
        <v>2042</v>
      </c>
      <c r="C374" t="s">
        <v>1589</v>
      </c>
      <c r="D374" t="s">
        <v>2043</v>
      </c>
      <c r="F374" t="s">
        <v>1592</v>
      </c>
      <c r="G374">
        <v>0</v>
      </c>
      <c r="H374">
        <v>1</v>
      </c>
      <c r="I374">
        <v>1.621</v>
      </c>
      <c r="J374">
        <v>0</v>
      </c>
      <c r="K374">
        <v>93420</v>
      </c>
      <c r="L374">
        <v>0</v>
      </c>
      <c r="M374">
        <v>17000</v>
      </c>
      <c r="N374">
        <v>0</v>
      </c>
      <c r="O374">
        <v>0</v>
      </c>
      <c r="P374">
        <v>69979</v>
      </c>
      <c r="Q374">
        <v>0</v>
      </c>
      <c r="R374">
        <v>0</v>
      </c>
      <c r="S374">
        <f t="shared" si="5"/>
        <v>69979</v>
      </c>
      <c r="T374">
        <v>0</v>
      </c>
      <c r="U374">
        <v>0</v>
      </c>
      <c r="V374">
        <v>0</v>
      </c>
      <c r="W374">
        <v>180399</v>
      </c>
    </row>
    <row r="375" spans="1:23" ht="12.75">
      <c r="A375" t="s">
        <v>2044</v>
      </c>
      <c r="B375" t="s">
        <v>2045</v>
      </c>
      <c r="C375" t="s">
        <v>1589</v>
      </c>
      <c r="D375" t="s">
        <v>2046</v>
      </c>
      <c r="F375" t="s">
        <v>1592</v>
      </c>
      <c r="G375">
        <v>0</v>
      </c>
      <c r="H375">
        <v>0.134</v>
      </c>
      <c r="I375">
        <v>0.5</v>
      </c>
      <c r="J375">
        <v>0</v>
      </c>
      <c r="K375">
        <v>21301</v>
      </c>
      <c r="L375">
        <v>0</v>
      </c>
      <c r="M375">
        <v>24844</v>
      </c>
      <c r="N375">
        <v>0</v>
      </c>
      <c r="O375">
        <v>0</v>
      </c>
      <c r="P375">
        <v>23700</v>
      </c>
      <c r="Q375">
        <v>0</v>
      </c>
      <c r="R375">
        <v>0</v>
      </c>
      <c r="S375">
        <f t="shared" si="5"/>
        <v>23700</v>
      </c>
      <c r="T375">
        <v>0</v>
      </c>
      <c r="U375">
        <v>0</v>
      </c>
      <c r="V375">
        <v>0</v>
      </c>
      <c r="W375">
        <v>69845</v>
      </c>
    </row>
    <row r="376" spans="1:23" ht="12.75">
      <c r="A376" t="s">
        <v>2047</v>
      </c>
      <c r="B376" t="s">
        <v>2048</v>
      </c>
      <c r="C376" t="s">
        <v>1589</v>
      </c>
      <c r="D376" t="s">
        <v>2049</v>
      </c>
      <c r="F376" t="s">
        <v>1592</v>
      </c>
      <c r="G376">
        <v>0</v>
      </c>
      <c r="H376">
        <v>0</v>
      </c>
      <c r="I376">
        <v>2</v>
      </c>
      <c r="J376">
        <v>1</v>
      </c>
      <c r="K376">
        <v>72204</v>
      </c>
      <c r="L376">
        <v>0</v>
      </c>
      <c r="M376">
        <v>190</v>
      </c>
      <c r="N376">
        <v>31500</v>
      </c>
      <c r="O376">
        <v>0</v>
      </c>
      <c r="P376">
        <v>37698</v>
      </c>
      <c r="Q376">
        <v>0</v>
      </c>
      <c r="R376">
        <v>0</v>
      </c>
      <c r="S376">
        <f t="shared" si="5"/>
        <v>37698</v>
      </c>
      <c r="T376">
        <v>7912</v>
      </c>
      <c r="U376">
        <v>0</v>
      </c>
      <c r="V376">
        <v>1000</v>
      </c>
      <c r="W376">
        <v>150504</v>
      </c>
    </row>
    <row r="377" spans="1:23" ht="12.75">
      <c r="A377" t="s">
        <v>2050</v>
      </c>
      <c r="B377" t="s">
        <v>2051</v>
      </c>
      <c r="C377" t="s">
        <v>1589</v>
      </c>
      <c r="D377" t="s">
        <v>2052</v>
      </c>
      <c r="F377" t="s">
        <v>1592</v>
      </c>
      <c r="G377">
        <v>0</v>
      </c>
      <c r="H377">
        <v>0</v>
      </c>
      <c r="I377">
        <v>1.759</v>
      </c>
      <c r="J377">
        <v>0</v>
      </c>
      <c r="K377">
        <v>63600</v>
      </c>
      <c r="L377">
        <v>0</v>
      </c>
      <c r="M377">
        <v>0</v>
      </c>
      <c r="N377">
        <v>0</v>
      </c>
      <c r="O377">
        <v>0</v>
      </c>
      <c r="P377">
        <v>16000</v>
      </c>
      <c r="Q377">
        <v>0</v>
      </c>
      <c r="R377">
        <v>0</v>
      </c>
      <c r="S377">
        <f t="shared" si="5"/>
        <v>16000</v>
      </c>
      <c r="T377">
        <v>0</v>
      </c>
      <c r="U377">
        <v>0</v>
      </c>
      <c r="V377">
        <v>0</v>
      </c>
      <c r="W377">
        <v>79600</v>
      </c>
    </row>
    <row r="378" spans="1:23" ht="12.75">
      <c r="A378" t="s">
        <v>2053</v>
      </c>
      <c r="B378" t="s">
        <v>2054</v>
      </c>
      <c r="C378" t="s">
        <v>1589</v>
      </c>
      <c r="D378" t="s">
        <v>2055</v>
      </c>
      <c r="F378" t="s">
        <v>1592</v>
      </c>
      <c r="G378">
        <v>0</v>
      </c>
      <c r="H378">
        <v>0</v>
      </c>
      <c r="I378">
        <v>1</v>
      </c>
      <c r="J378">
        <v>0</v>
      </c>
      <c r="K378">
        <v>28296</v>
      </c>
      <c r="L378">
        <v>0</v>
      </c>
      <c r="M378">
        <v>1704</v>
      </c>
      <c r="N378">
        <v>0</v>
      </c>
      <c r="O378">
        <v>0</v>
      </c>
      <c r="P378">
        <v>35000</v>
      </c>
      <c r="Q378">
        <v>0</v>
      </c>
      <c r="R378">
        <v>0</v>
      </c>
      <c r="S378">
        <f t="shared" si="5"/>
        <v>35000</v>
      </c>
      <c r="T378">
        <v>0</v>
      </c>
      <c r="U378">
        <v>0</v>
      </c>
      <c r="V378">
        <v>0</v>
      </c>
      <c r="W378">
        <v>65000</v>
      </c>
    </row>
    <row r="379" spans="1:23" ht="12.75">
      <c r="A379" t="s">
        <v>2056</v>
      </c>
      <c r="B379" t="s">
        <v>2057</v>
      </c>
      <c r="C379" t="s">
        <v>1589</v>
      </c>
      <c r="D379" t="s">
        <v>2058</v>
      </c>
      <c r="F379" t="s">
        <v>1592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41463</v>
      </c>
      <c r="O379">
        <v>0</v>
      </c>
      <c r="P379">
        <v>0</v>
      </c>
      <c r="Q379">
        <v>0</v>
      </c>
      <c r="R379">
        <v>0</v>
      </c>
      <c r="S379">
        <f t="shared" si="5"/>
        <v>0</v>
      </c>
      <c r="T379">
        <v>52200</v>
      </c>
      <c r="U379">
        <v>0</v>
      </c>
      <c r="V379">
        <v>0</v>
      </c>
      <c r="W379">
        <v>93663</v>
      </c>
    </row>
    <row r="380" spans="1:23" ht="12.75">
      <c r="A380" t="s">
        <v>2059</v>
      </c>
      <c r="B380" t="s">
        <v>2060</v>
      </c>
      <c r="C380" t="s">
        <v>1589</v>
      </c>
      <c r="D380" t="s">
        <v>2061</v>
      </c>
      <c r="F380" t="s">
        <v>1592</v>
      </c>
      <c r="G380">
        <v>0</v>
      </c>
      <c r="H380">
        <v>0</v>
      </c>
      <c r="I380">
        <v>2.068</v>
      </c>
      <c r="J380">
        <v>0</v>
      </c>
      <c r="K380">
        <v>63228</v>
      </c>
      <c r="L380">
        <v>0</v>
      </c>
      <c r="M380">
        <v>0</v>
      </c>
      <c r="N380">
        <v>0</v>
      </c>
      <c r="O380">
        <v>0</v>
      </c>
      <c r="P380">
        <v>36772</v>
      </c>
      <c r="Q380">
        <v>0</v>
      </c>
      <c r="R380">
        <v>0</v>
      </c>
      <c r="S380">
        <f t="shared" si="5"/>
        <v>36772</v>
      </c>
      <c r="T380">
        <v>0</v>
      </c>
      <c r="U380">
        <v>0</v>
      </c>
      <c r="V380">
        <v>0</v>
      </c>
      <c r="W380">
        <v>100000</v>
      </c>
    </row>
    <row r="381" spans="1:23" ht="12.75">
      <c r="A381" t="s">
        <v>2062</v>
      </c>
      <c r="B381" t="s">
        <v>2063</v>
      </c>
      <c r="C381" t="s">
        <v>1589</v>
      </c>
      <c r="D381" t="s">
        <v>2064</v>
      </c>
      <c r="F381" t="s">
        <v>1592</v>
      </c>
      <c r="G381">
        <v>1</v>
      </c>
      <c r="H381">
        <v>0</v>
      </c>
      <c r="I381">
        <v>0</v>
      </c>
      <c r="J381">
        <v>0</v>
      </c>
      <c r="K381">
        <v>113100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f t="shared" si="5"/>
        <v>0</v>
      </c>
      <c r="T381">
        <v>0</v>
      </c>
      <c r="U381">
        <v>0</v>
      </c>
      <c r="V381">
        <v>0</v>
      </c>
      <c r="W381">
        <v>113100</v>
      </c>
    </row>
    <row r="382" spans="1:23" ht="12.75">
      <c r="A382" t="s">
        <v>2065</v>
      </c>
      <c r="B382" t="s">
        <v>2066</v>
      </c>
      <c r="C382" t="s">
        <v>1589</v>
      </c>
      <c r="D382" t="s">
        <v>2067</v>
      </c>
      <c r="F382" t="s">
        <v>1592</v>
      </c>
      <c r="G382">
        <v>0</v>
      </c>
      <c r="H382">
        <v>0</v>
      </c>
      <c r="I382">
        <v>0.5</v>
      </c>
      <c r="J382">
        <v>0</v>
      </c>
      <c r="K382">
        <v>12588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f t="shared" si="5"/>
        <v>0</v>
      </c>
      <c r="T382">
        <v>0</v>
      </c>
      <c r="U382">
        <v>0</v>
      </c>
      <c r="V382">
        <v>0</v>
      </c>
      <c r="W382">
        <v>12588</v>
      </c>
    </row>
    <row r="383" spans="1:23" ht="12.75">
      <c r="A383" t="s">
        <v>2068</v>
      </c>
      <c r="B383" t="s">
        <v>2069</v>
      </c>
      <c r="C383" t="s">
        <v>1589</v>
      </c>
      <c r="D383" t="s">
        <v>2070</v>
      </c>
      <c r="F383" t="s">
        <v>1592</v>
      </c>
      <c r="G383">
        <v>1.333</v>
      </c>
      <c r="H383">
        <v>0.334</v>
      </c>
      <c r="I383">
        <v>4.22</v>
      </c>
      <c r="J383">
        <v>0</v>
      </c>
      <c r="K383">
        <v>260761</v>
      </c>
      <c r="L383">
        <v>0</v>
      </c>
      <c r="M383">
        <v>4577</v>
      </c>
      <c r="N383">
        <v>0</v>
      </c>
      <c r="O383">
        <v>0</v>
      </c>
      <c r="P383">
        <v>0</v>
      </c>
      <c r="Q383">
        <v>0</v>
      </c>
      <c r="R383">
        <v>0</v>
      </c>
      <c r="S383">
        <f t="shared" si="5"/>
        <v>0</v>
      </c>
      <c r="T383">
        <v>0</v>
      </c>
      <c r="U383">
        <v>0</v>
      </c>
      <c r="V383">
        <v>0</v>
      </c>
      <c r="W383">
        <v>265338</v>
      </c>
    </row>
    <row r="384" spans="1:23" ht="12.75">
      <c r="A384" t="s">
        <v>2071</v>
      </c>
      <c r="B384" t="s">
        <v>2072</v>
      </c>
      <c r="C384" t="s">
        <v>1589</v>
      </c>
      <c r="D384" t="s">
        <v>2073</v>
      </c>
      <c r="F384" t="s">
        <v>1592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10000</v>
      </c>
      <c r="Q384">
        <v>0</v>
      </c>
      <c r="R384">
        <v>0</v>
      </c>
      <c r="S384">
        <f t="shared" si="5"/>
        <v>10000</v>
      </c>
      <c r="T384">
        <v>0</v>
      </c>
      <c r="U384">
        <v>0</v>
      </c>
      <c r="V384">
        <v>0</v>
      </c>
      <c r="W384">
        <v>10000</v>
      </c>
    </row>
    <row r="385" spans="1:23" ht="12.75">
      <c r="A385" t="s">
        <v>2074</v>
      </c>
      <c r="B385" t="s">
        <v>2075</v>
      </c>
      <c r="C385" t="s">
        <v>1589</v>
      </c>
      <c r="D385" t="s">
        <v>2076</v>
      </c>
      <c r="F385" t="s">
        <v>1592</v>
      </c>
      <c r="G385">
        <v>0</v>
      </c>
      <c r="H385">
        <v>0</v>
      </c>
      <c r="I385">
        <v>3</v>
      </c>
      <c r="J385">
        <v>0</v>
      </c>
      <c r="K385">
        <v>68328</v>
      </c>
      <c r="L385">
        <v>0</v>
      </c>
      <c r="M385">
        <v>0</v>
      </c>
      <c r="N385">
        <v>0</v>
      </c>
      <c r="O385">
        <v>0</v>
      </c>
      <c r="P385">
        <v>17105</v>
      </c>
      <c r="Q385">
        <v>0</v>
      </c>
      <c r="R385">
        <v>0</v>
      </c>
      <c r="S385">
        <f t="shared" si="5"/>
        <v>17105</v>
      </c>
      <c r="T385">
        <v>0</v>
      </c>
      <c r="U385">
        <v>0</v>
      </c>
      <c r="V385">
        <v>1000</v>
      </c>
      <c r="W385">
        <v>86433</v>
      </c>
    </row>
    <row r="386" spans="1:23" ht="12.75">
      <c r="A386" t="s">
        <v>2077</v>
      </c>
      <c r="B386" t="s">
        <v>2078</v>
      </c>
      <c r="C386" t="s">
        <v>1589</v>
      </c>
      <c r="D386" t="s">
        <v>2079</v>
      </c>
      <c r="F386" t="s">
        <v>1592</v>
      </c>
      <c r="G386">
        <v>0</v>
      </c>
      <c r="H386">
        <v>0</v>
      </c>
      <c r="I386">
        <v>5</v>
      </c>
      <c r="J386">
        <v>0</v>
      </c>
      <c r="K386">
        <v>120780</v>
      </c>
      <c r="L386">
        <v>0</v>
      </c>
      <c r="M386">
        <v>0</v>
      </c>
      <c r="N386">
        <v>0</v>
      </c>
      <c r="O386">
        <v>0</v>
      </c>
      <c r="P386">
        <v>52963</v>
      </c>
      <c r="Q386">
        <v>0</v>
      </c>
      <c r="R386">
        <v>0</v>
      </c>
      <c r="S386">
        <f t="shared" si="5"/>
        <v>52963</v>
      </c>
      <c r="T386">
        <v>0</v>
      </c>
      <c r="U386">
        <v>0</v>
      </c>
      <c r="V386">
        <v>1000</v>
      </c>
      <c r="W386">
        <v>174743</v>
      </c>
    </row>
    <row r="387" spans="1:23" ht="12.75">
      <c r="A387" t="s">
        <v>2080</v>
      </c>
      <c r="B387" t="s">
        <v>2081</v>
      </c>
      <c r="C387" t="s">
        <v>1589</v>
      </c>
      <c r="D387" t="s">
        <v>2082</v>
      </c>
      <c r="F387" t="s">
        <v>1592</v>
      </c>
      <c r="G387">
        <v>0</v>
      </c>
      <c r="H387">
        <v>0</v>
      </c>
      <c r="I387">
        <v>1</v>
      </c>
      <c r="J387">
        <v>1</v>
      </c>
      <c r="K387">
        <v>61284</v>
      </c>
      <c r="L387">
        <v>0</v>
      </c>
      <c r="M387">
        <v>0</v>
      </c>
      <c r="N387">
        <v>0</v>
      </c>
      <c r="O387">
        <v>0</v>
      </c>
      <c r="P387">
        <v>22063</v>
      </c>
      <c r="Q387">
        <v>0</v>
      </c>
      <c r="R387">
        <v>0</v>
      </c>
      <c r="S387">
        <f t="shared" si="5"/>
        <v>22063</v>
      </c>
      <c r="T387">
        <v>0</v>
      </c>
      <c r="U387">
        <v>0</v>
      </c>
      <c r="V387">
        <v>1000</v>
      </c>
      <c r="W387">
        <v>84347</v>
      </c>
    </row>
    <row r="388" spans="1:23" ht="12.75">
      <c r="A388" t="s">
        <v>2083</v>
      </c>
      <c r="B388" t="s">
        <v>2084</v>
      </c>
      <c r="C388" t="s">
        <v>1589</v>
      </c>
      <c r="D388" t="s">
        <v>2085</v>
      </c>
      <c r="F388" t="s">
        <v>1592</v>
      </c>
      <c r="G388">
        <v>0</v>
      </c>
      <c r="H388">
        <v>0</v>
      </c>
      <c r="I388">
        <v>5</v>
      </c>
      <c r="J388">
        <v>0.75</v>
      </c>
      <c r="K388">
        <v>137997</v>
      </c>
      <c r="L388">
        <v>0</v>
      </c>
      <c r="M388">
        <v>0</v>
      </c>
      <c r="N388">
        <v>0</v>
      </c>
      <c r="O388">
        <v>0</v>
      </c>
      <c r="P388">
        <v>46625</v>
      </c>
      <c r="Q388">
        <v>0</v>
      </c>
      <c r="R388">
        <v>0</v>
      </c>
      <c r="S388">
        <f aca="true" t="shared" si="6" ref="S388:S451">SUM(P388:R388)</f>
        <v>46625</v>
      </c>
      <c r="T388">
        <v>0</v>
      </c>
      <c r="U388">
        <v>0</v>
      </c>
      <c r="V388">
        <v>1000</v>
      </c>
      <c r="W388">
        <v>185622</v>
      </c>
    </row>
    <row r="389" spans="1:23" ht="12.75">
      <c r="A389" t="s">
        <v>2086</v>
      </c>
      <c r="B389" t="s">
        <v>2091</v>
      </c>
      <c r="C389" t="s">
        <v>1589</v>
      </c>
      <c r="D389" t="s">
        <v>2092</v>
      </c>
      <c r="F389" t="s">
        <v>1592</v>
      </c>
      <c r="G389">
        <v>0</v>
      </c>
      <c r="H389">
        <v>4.918</v>
      </c>
      <c r="I389">
        <v>1.283</v>
      </c>
      <c r="J389">
        <v>0.5</v>
      </c>
      <c r="K389">
        <v>321057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f t="shared" si="6"/>
        <v>0</v>
      </c>
      <c r="T389">
        <v>0</v>
      </c>
      <c r="U389">
        <v>0</v>
      </c>
      <c r="V389">
        <v>0</v>
      </c>
      <c r="W389">
        <v>321057</v>
      </c>
    </row>
    <row r="390" spans="1:23" ht="12.75">
      <c r="A390" t="s">
        <v>2093</v>
      </c>
      <c r="B390" t="s">
        <v>2091</v>
      </c>
      <c r="C390" t="s">
        <v>1589</v>
      </c>
      <c r="D390" t="s">
        <v>2094</v>
      </c>
      <c r="F390" t="s">
        <v>1592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10328</v>
      </c>
      <c r="Q390">
        <v>0</v>
      </c>
      <c r="R390">
        <v>0</v>
      </c>
      <c r="S390">
        <f t="shared" si="6"/>
        <v>10328</v>
      </c>
      <c r="T390">
        <v>0</v>
      </c>
      <c r="U390">
        <v>0</v>
      </c>
      <c r="V390">
        <v>0</v>
      </c>
      <c r="W390">
        <v>10328</v>
      </c>
    </row>
    <row r="391" spans="1:23" ht="12.75">
      <c r="A391" t="s">
        <v>2095</v>
      </c>
      <c r="B391" t="s">
        <v>2096</v>
      </c>
      <c r="C391" t="s">
        <v>1589</v>
      </c>
      <c r="D391" t="s">
        <v>2097</v>
      </c>
      <c r="F391" t="s">
        <v>1592</v>
      </c>
      <c r="G391">
        <v>0</v>
      </c>
      <c r="H391">
        <v>7.251</v>
      </c>
      <c r="I391">
        <v>9.667</v>
      </c>
      <c r="J391">
        <v>2.724</v>
      </c>
      <c r="K391">
        <v>720005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f t="shared" si="6"/>
        <v>0</v>
      </c>
      <c r="T391">
        <v>0</v>
      </c>
      <c r="U391">
        <v>0</v>
      </c>
      <c r="V391">
        <v>0</v>
      </c>
      <c r="W391">
        <v>720005</v>
      </c>
    </row>
    <row r="392" spans="1:23" ht="12.75">
      <c r="A392" t="s">
        <v>2098</v>
      </c>
      <c r="B392" t="s">
        <v>2096</v>
      </c>
      <c r="C392" t="s">
        <v>1589</v>
      </c>
      <c r="D392" t="s">
        <v>2099</v>
      </c>
      <c r="F392" t="s">
        <v>1592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26001</v>
      </c>
      <c r="O392">
        <v>0</v>
      </c>
      <c r="P392">
        <v>98701</v>
      </c>
      <c r="Q392">
        <v>0</v>
      </c>
      <c r="R392">
        <v>0</v>
      </c>
      <c r="S392">
        <f t="shared" si="6"/>
        <v>98701</v>
      </c>
      <c r="T392">
        <v>0</v>
      </c>
      <c r="U392">
        <v>0</v>
      </c>
      <c r="V392">
        <v>0</v>
      </c>
      <c r="W392">
        <v>124702</v>
      </c>
    </row>
    <row r="393" spans="1:23" ht="12.75">
      <c r="A393" t="s">
        <v>2100</v>
      </c>
      <c r="B393" t="s">
        <v>2101</v>
      </c>
      <c r="C393" t="s">
        <v>1589</v>
      </c>
      <c r="D393" t="s">
        <v>2102</v>
      </c>
      <c r="F393" t="s">
        <v>1592</v>
      </c>
      <c r="G393">
        <v>0</v>
      </c>
      <c r="H393">
        <v>8.171</v>
      </c>
      <c r="I393">
        <v>4.666</v>
      </c>
      <c r="J393">
        <v>1.037</v>
      </c>
      <c r="K393">
        <v>656020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f t="shared" si="6"/>
        <v>0</v>
      </c>
      <c r="T393">
        <v>0</v>
      </c>
      <c r="U393">
        <v>0</v>
      </c>
      <c r="V393">
        <v>0</v>
      </c>
      <c r="W393">
        <v>656020</v>
      </c>
    </row>
    <row r="394" spans="1:23" ht="12.75">
      <c r="A394" t="s">
        <v>2103</v>
      </c>
      <c r="B394" t="s">
        <v>2101</v>
      </c>
      <c r="C394" t="s">
        <v>1589</v>
      </c>
      <c r="D394" t="s">
        <v>2104</v>
      </c>
      <c r="F394" t="s">
        <v>1592</v>
      </c>
      <c r="G394">
        <v>0</v>
      </c>
      <c r="H394">
        <v>0</v>
      </c>
      <c r="I394">
        <v>0</v>
      </c>
      <c r="J394">
        <v>0.417</v>
      </c>
      <c r="K394">
        <v>11340</v>
      </c>
      <c r="L394">
        <v>0</v>
      </c>
      <c r="M394">
        <v>0</v>
      </c>
      <c r="N394">
        <v>39002</v>
      </c>
      <c r="O394">
        <v>0</v>
      </c>
      <c r="P394">
        <v>34660</v>
      </c>
      <c r="Q394">
        <v>0</v>
      </c>
      <c r="R394">
        <v>0</v>
      </c>
      <c r="S394">
        <f t="shared" si="6"/>
        <v>34660</v>
      </c>
      <c r="T394">
        <v>0</v>
      </c>
      <c r="U394">
        <v>0</v>
      </c>
      <c r="V394">
        <v>0</v>
      </c>
      <c r="W394">
        <v>85002</v>
      </c>
    </row>
    <row r="395" spans="1:23" ht="12.75">
      <c r="A395" t="s">
        <v>2105</v>
      </c>
      <c r="B395" t="s">
        <v>2106</v>
      </c>
      <c r="C395" t="s">
        <v>1589</v>
      </c>
      <c r="D395" t="s">
        <v>2107</v>
      </c>
      <c r="F395" t="s">
        <v>1592</v>
      </c>
      <c r="G395">
        <v>0</v>
      </c>
      <c r="H395">
        <v>3.667</v>
      </c>
      <c r="I395">
        <v>0.916</v>
      </c>
      <c r="J395">
        <v>0</v>
      </c>
      <c r="K395">
        <v>190038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f t="shared" si="6"/>
        <v>0</v>
      </c>
      <c r="T395">
        <v>0</v>
      </c>
      <c r="U395">
        <v>0</v>
      </c>
      <c r="V395">
        <v>0</v>
      </c>
      <c r="W395">
        <v>190038</v>
      </c>
    </row>
    <row r="396" spans="1:23" ht="12.75">
      <c r="A396" t="s">
        <v>2108</v>
      </c>
      <c r="B396" t="s">
        <v>2106</v>
      </c>
      <c r="C396" t="s">
        <v>1589</v>
      </c>
      <c r="D396" t="s">
        <v>2109</v>
      </c>
      <c r="F396" t="s">
        <v>1592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8667</v>
      </c>
      <c r="O396">
        <v>0</v>
      </c>
      <c r="P396">
        <v>23792</v>
      </c>
      <c r="Q396">
        <v>0</v>
      </c>
      <c r="R396">
        <v>0</v>
      </c>
      <c r="S396">
        <f t="shared" si="6"/>
        <v>23792</v>
      </c>
      <c r="T396">
        <v>0</v>
      </c>
      <c r="U396">
        <v>0</v>
      </c>
      <c r="V396">
        <v>0</v>
      </c>
      <c r="W396">
        <v>32459</v>
      </c>
    </row>
    <row r="397" spans="1:23" ht="12.75">
      <c r="A397" t="s">
        <v>2110</v>
      </c>
      <c r="B397" t="s">
        <v>2111</v>
      </c>
      <c r="C397" t="s">
        <v>1589</v>
      </c>
      <c r="D397" t="s">
        <v>2112</v>
      </c>
      <c r="F397" t="s">
        <v>1592</v>
      </c>
      <c r="G397">
        <v>0</v>
      </c>
      <c r="H397">
        <v>5.417</v>
      </c>
      <c r="I397">
        <v>9.545</v>
      </c>
      <c r="J397">
        <v>0</v>
      </c>
      <c r="K397">
        <v>632657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f t="shared" si="6"/>
        <v>0</v>
      </c>
      <c r="T397">
        <v>0</v>
      </c>
      <c r="U397">
        <v>0</v>
      </c>
      <c r="V397">
        <v>0</v>
      </c>
      <c r="W397">
        <v>632657</v>
      </c>
    </row>
    <row r="398" spans="1:23" ht="12.75">
      <c r="A398" t="s">
        <v>2113</v>
      </c>
      <c r="B398" t="s">
        <v>2111</v>
      </c>
      <c r="C398" t="s">
        <v>1589</v>
      </c>
      <c r="D398" t="s">
        <v>2114</v>
      </c>
      <c r="F398" t="s">
        <v>1592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8667</v>
      </c>
      <c r="O398">
        <v>0</v>
      </c>
      <c r="P398">
        <v>13000</v>
      </c>
      <c r="Q398">
        <v>0</v>
      </c>
      <c r="R398">
        <v>0</v>
      </c>
      <c r="S398">
        <f t="shared" si="6"/>
        <v>13000</v>
      </c>
      <c r="T398">
        <v>0</v>
      </c>
      <c r="U398">
        <v>0</v>
      </c>
      <c r="V398">
        <v>0</v>
      </c>
      <c r="W398">
        <v>21667</v>
      </c>
    </row>
    <row r="399" spans="1:23" ht="12.75">
      <c r="A399" t="s">
        <v>2115</v>
      </c>
      <c r="B399" t="s">
        <v>2116</v>
      </c>
      <c r="C399" t="s">
        <v>1589</v>
      </c>
      <c r="D399" t="s">
        <v>2117</v>
      </c>
      <c r="F399" t="s">
        <v>1592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97620</v>
      </c>
      <c r="Q399">
        <v>0</v>
      </c>
      <c r="R399">
        <v>0</v>
      </c>
      <c r="S399">
        <f t="shared" si="6"/>
        <v>97620</v>
      </c>
      <c r="T399">
        <v>0</v>
      </c>
      <c r="U399">
        <v>0</v>
      </c>
      <c r="V399">
        <v>0</v>
      </c>
      <c r="W399">
        <v>97620</v>
      </c>
    </row>
    <row r="400" spans="1:23" ht="12.75">
      <c r="A400" t="s">
        <v>2118</v>
      </c>
      <c r="B400" t="s">
        <v>2119</v>
      </c>
      <c r="C400" t="s">
        <v>1589</v>
      </c>
      <c r="D400" t="s">
        <v>2120</v>
      </c>
      <c r="F400" t="s">
        <v>1592</v>
      </c>
      <c r="G400">
        <v>0.167</v>
      </c>
      <c r="H400">
        <v>3.166</v>
      </c>
      <c r="I400">
        <v>3.0660000000000003</v>
      </c>
      <c r="J400">
        <v>1.916</v>
      </c>
      <c r="K400">
        <v>354702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f t="shared" si="6"/>
        <v>0</v>
      </c>
      <c r="T400">
        <v>0</v>
      </c>
      <c r="U400">
        <v>0</v>
      </c>
      <c r="V400">
        <v>0</v>
      </c>
      <c r="W400">
        <v>354702</v>
      </c>
    </row>
    <row r="401" spans="1:23" ht="12.75">
      <c r="A401" t="s">
        <v>2121</v>
      </c>
      <c r="B401" t="s">
        <v>2119</v>
      </c>
      <c r="C401" t="s">
        <v>1589</v>
      </c>
      <c r="D401" t="s">
        <v>2122</v>
      </c>
      <c r="F401" t="s">
        <v>1592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17334</v>
      </c>
      <c r="O401">
        <v>0</v>
      </c>
      <c r="P401">
        <v>39568</v>
      </c>
      <c r="Q401">
        <v>0</v>
      </c>
      <c r="R401">
        <v>0</v>
      </c>
      <c r="S401">
        <f t="shared" si="6"/>
        <v>39568</v>
      </c>
      <c r="T401">
        <v>0</v>
      </c>
      <c r="U401">
        <v>0</v>
      </c>
      <c r="V401">
        <v>0</v>
      </c>
      <c r="W401">
        <v>56902</v>
      </c>
    </row>
    <row r="402" spans="1:23" ht="12.75">
      <c r="A402" t="s">
        <v>2123</v>
      </c>
      <c r="B402" t="s">
        <v>2124</v>
      </c>
      <c r="C402" t="s">
        <v>1589</v>
      </c>
      <c r="D402" t="s">
        <v>2125</v>
      </c>
      <c r="F402" t="s">
        <v>1592</v>
      </c>
      <c r="G402">
        <v>0.334</v>
      </c>
      <c r="H402">
        <v>6.2490000000000006</v>
      </c>
      <c r="I402">
        <v>3.462</v>
      </c>
      <c r="J402">
        <v>1</v>
      </c>
      <c r="K402">
        <v>468787</v>
      </c>
      <c r="L402">
        <v>0</v>
      </c>
      <c r="M402">
        <v>504</v>
      </c>
      <c r="N402">
        <v>0</v>
      </c>
      <c r="O402">
        <v>0</v>
      </c>
      <c r="P402">
        <v>0</v>
      </c>
      <c r="Q402">
        <v>0</v>
      </c>
      <c r="R402">
        <v>0</v>
      </c>
      <c r="S402">
        <f t="shared" si="6"/>
        <v>0</v>
      </c>
      <c r="T402">
        <v>0</v>
      </c>
      <c r="U402">
        <v>0</v>
      </c>
      <c r="V402">
        <v>0</v>
      </c>
      <c r="W402">
        <v>469291</v>
      </c>
    </row>
    <row r="403" spans="1:23" ht="12.75">
      <c r="A403" t="s">
        <v>2126</v>
      </c>
      <c r="B403" t="s">
        <v>2124</v>
      </c>
      <c r="C403" t="s">
        <v>1589</v>
      </c>
      <c r="D403" t="s">
        <v>2127</v>
      </c>
      <c r="F403" t="s">
        <v>1592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26001</v>
      </c>
      <c r="O403">
        <v>0</v>
      </c>
      <c r="P403">
        <v>64672</v>
      </c>
      <c r="Q403">
        <v>0</v>
      </c>
      <c r="R403">
        <v>0</v>
      </c>
      <c r="S403">
        <f t="shared" si="6"/>
        <v>64672</v>
      </c>
      <c r="T403">
        <v>0</v>
      </c>
      <c r="U403">
        <v>0</v>
      </c>
      <c r="V403">
        <v>0</v>
      </c>
      <c r="W403">
        <v>90673</v>
      </c>
    </row>
    <row r="404" spans="1:23" ht="12.75">
      <c r="A404" t="s">
        <v>2128</v>
      </c>
      <c r="B404" t="s">
        <v>2129</v>
      </c>
      <c r="C404" t="s">
        <v>2130</v>
      </c>
      <c r="D404" t="s">
        <v>2131</v>
      </c>
      <c r="E404" t="s">
        <v>2132</v>
      </c>
      <c r="F404" t="s">
        <v>1592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58250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f t="shared" si="6"/>
        <v>0</v>
      </c>
      <c r="T404">
        <v>0</v>
      </c>
      <c r="U404">
        <v>0</v>
      </c>
      <c r="V404">
        <v>0</v>
      </c>
      <c r="W404">
        <v>58250</v>
      </c>
    </row>
    <row r="405" spans="1:23" ht="12.75">
      <c r="A405" t="s">
        <v>2133</v>
      </c>
      <c r="B405" t="s">
        <v>2134</v>
      </c>
      <c r="C405" t="s">
        <v>2130</v>
      </c>
      <c r="D405" t="s">
        <v>2135</v>
      </c>
      <c r="E405" t="s">
        <v>2136</v>
      </c>
      <c r="F405" t="s">
        <v>1592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8057</v>
      </c>
      <c r="Q405">
        <v>0</v>
      </c>
      <c r="R405">
        <v>0</v>
      </c>
      <c r="S405">
        <f t="shared" si="6"/>
        <v>8057</v>
      </c>
      <c r="T405">
        <v>0</v>
      </c>
      <c r="U405">
        <v>0</v>
      </c>
      <c r="V405">
        <v>0</v>
      </c>
      <c r="W405">
        <v>8057</v>
      </c>
    </row>
    <row r="406" spans="1:23" ht="12.75">
      <c r="A406" t="s">
        <v>2137</v>
      </c>
      <c r="B406" t="s">
        <v>2138</v>
      </c>
      <c r="C406" t="s">
        <v>2130</v>
      </c>
      <c r="D406" t="s">
        <v>2139</v>
      </c>
      <c r="E406" t="s">
        <v>2140</v>
      </c>
      <c r="F406" t="s">
        <v>1592</v>
      </c>
      <c r="G406">
        <v>0</v>
      </c>
      <c r="H406">
        <v>0</v>
      </c>
      <c r="I406">
        <v>0.334</v>
      </c>
      <c r="J406">
        <v>0</v>
      </c>
      <c r="K406">
        <v>7656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f t="shared" si="6"/>
        <v>0</v>
      </c>
      <c r="T406">
        <v>0</v>
      </c>
      <c r="U406">
        <v>0</v>
      </c>
      <c r="V406">
        <v>0</v>
      </c>
      <c r="W406">
        <v>7656</v>
      </c>
    </row>
    <row r="407" spans="1:23" ht="12.75">
      <c r="A407" t="s">
        <v>2141</v>
      </c>
      <c r="B407" t="s">
        <v>2138</v>
      </c>
      <c r="C407" t="s">
        <v>2130</v>
      </c>
      <c r="D407" t="s">
        <v>2176</v>
      </c>
      <c r="E407" t="s">
        <v>2177</v>
      </c>
      <c r="F407" t="s">
        <v>1592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1020</v>
      </c>
      <c r="O407">
        <v>0</v>
      </c>
      <c r="P407">
        <v>1000</v>
      </c>
      <c r="Q407">
        <v>0</v>
      </c>
      <c r="R407">
        <v>0</v>
      </c>
      <c r="S407">
        <f t="shared" si="6"/>
        <v>1000</v>
      </c>
      <c r="T407">
        <v>0</v>
      </c>
      <c r="U407">
        <v>0</v>
      </c>
      <c r="V407">
        <v>0</v>
      </c>
      <c r="W407">
        <v>2020</v>
      </c>
    </row>
    <row r="408" spans="1:23" ht="12.75">
      <c r="A408" t="s">
        <v>2178</v>
      </c>
      <c r="B408" t="s">
        <v>2179</v>
      </c>
      <c r="C408" t="s">
        <v>2130</v>
      </c>
      <c r="D408" t="s">
        <v>2180</v>
      </c>
      <c r="E408" t="s">
        <v>2181</v>
      </c>
      <c r="F408" t="s">
        <v>1592</v>
      </c>
      <c r="G408">
        <v>0</v>
      </c>
      <c r="H408">
        <v>0</v>
      </c>
      <c r="I408">
        <v>0</v>
      </c>
      <c r="J408">
        <v>0.25</v>
      </c>
      <c r="K408">
        <v>7386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f t="shared" si="6"/>
        <v>0</v>
      </c>
      <c r="T408">
        <v>0</v>
      </c>
      <c r="U408">
        <v>0</v>
      </c>
      <c r="V408">
        <v>0</v>
      </c>
      <c r="W408">
        <v>7386</v>
      </c>
    </row>
    <row r="409" spans="1:23" ht="12.75">
      <c r="A409" t="s">
        <v>2182</v>
      </c>
      <c r="B409" t="s">
        <v>2183</v>
      </c>
      <c r="C409" t="s">
        <v>2130</v>
      </c>
      <c r="D409" t="s">
        <v>2184</v>
      </c>
      <c r="E409" t="s">
        <v>2185</v>
      </c>
      <c r="F409" t="s">
        <v>1592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2040</v>
      </c>
      <c r="O409">
        <v>0</v>
      </c>
      <c r="P409">
        <v>8659</v>
      </c>
      <c r="Q409">
        <v>0</v>
      </c>
      <c r="R409">
        <v>0</v>
      </c>
      <c r="S409">
        <f t="shared" si="6"/>
        <v>8659</v>
      </c>
      <c r="T409">
        <v>0</v>
      </c>
      <c r="U409">
        <v>0</v>
      </c>
      <c r="V409">
        <v>0</v>
      </c>
      <c r="W409">
        <v>10699</v>
      </c>
    </row>
    <row r="410" spans="1:23" ht="12.75">
      <c r="A410" t="s">
        <v>2186</v>
      </c>
      <c r="B410" t="s">
        <v>2187</v>
      </c>
      <c r="C410" t="s">
        <v>2130</v>
      </c>
      <c r="D410" t="s">
        <v>2188</v>
      </c>
      <c r="E410" t="s">
        <v>2189</v>
      </c>
      <c r="F410" t="s">
        <v>1592</v>
      </c>
      <c r="G410">
        <v>0</v>
      </c>
      <c r="H410">
        <v>0.167</v>
      </c>
      <c r="I410">
        <v>0.083</v>
      </c>
      <c r="J410">
        <v>0</v>
      </c>
      <c r="K410">
        <v>11846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f t="shared" si="6"/>
        <v>0</v>
      </c>
      <c r="T410">
        <v>0</v>
      </c>
      <c r="U410">
        <v>0</v>
      </c>
      <c r="V410">
        <v>0</v>
      </c>
      <c r="W410">
        <v>11846</v>
      </c>
    </row>
    <row r="411" spans="1:23" ht="12.75">
      <c r="A411" t="s">
        <v>2190</v>
      </c>
      <c r="B411" t="s">
        <v>2187</v>
      </c>
      <c r="C411" t="s">
        <v>2130</v>
      </c>
      <c r="D411" t="s">
        <v>2191</v>
      </c>
      <c r="E411" t="s">
        <v>2192</v>
      </c>
      <c r="F411" t="s">
        <v>1592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2040</v>
      </c>
      <c r="O411">
        <v>0</v>
      </c>
      <c r="P411">
        <v>5000</v>
      </c>
      <c r="Q411">
        <v>0</v>
      </c>
      <c r="R411">
        <v>0</v>
      </c>
      <c r="S411">
        <f t="shared" si="6"/>
        <v>5000</v>
      </c>
      <c r="T411">
        <v>0</v>
      </c>
      <c r="U411">
        <v>0</v>
      </c>
      <c r="V411">
        <v>0</v>
      </c>
      <c r="W411">
        <v>7040</v>
      </c>
    </row>
    <row r="412" spans="1:23" ht="12.75">
      <c r="A412" t="s">
        <v>2193</v>
      </c>
      <c r="B412" t="s">
        <v>2194</v>
      </c>
      <c r="C412" t="s">
        <v>2130</v>
      </c>
      <c r="D412" t="s">
        <v>2195</v>
      </c>
      <c r="E412" t="s">
        <v>2196</v>
      </c>
      <c r="F412" t="s">
        <v>1592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522</v>
      </c>
      <c r="Q412">
        <v>0</v>
      </c>
      <c r="R412">
        <v>0</v>
      </c>
      <c r="S412">
        <f t="shared" si="6"/>
        <v>522</v>
      </c>
      <c r="T412">
        <v>0</v>
      </c>
      <c r="U412">
        <v>0</v>
      </c>
      <c r="V412">
        <v>0</v>
      </c>
      <c r="W412">
        <v>522</v>
      </c>
    </row>
    <row r="413" spans="1:23" ht="12.75">
      <c r="A413" t="s">
        <v>2197</v>
      </c>
      <c r="B413" t="s">
        <v>2198</v>
      </c>
      <c r="C413" t="s">
        <v>2130</v>
      </c>
      <c r="D413" t="s">
        <v>2199</v>
      </c>
      <c r="E413" t="s">
        <v>2200</v>
      </c>
      <c r="F413" t="s">
        <v>1592</v>
      </c>
      <c r="G413">
        <v>0</v>
      </c>
      <c r="H413">
        <v>0.166</v>
      </c>
      <c r="I413">
        <v>1.25</v>
      </c>
      <c r="J413">
        <v>0</v>
      </c>
      <c r="K413">
        <v>43528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f t="shared" si="6"/>
        <v>0</v>
      </c>
      <c r="T413">
        <v>0</v>
      </c>
      <c r="U413">
        <v>0</v>
      </c>
      <c r="V413">
        <v>0</v>
      </c>
      <c r="W413">
        <v>43528</v>
      </c>
    </row>
    <row r="414" spans="1:23" ht="12.75">
      <c r="A414" t="s">
        <v>2201</v>
      </c>
      <c r="B414" t="s">
        <v>2202</v>
      </c>
      <c r="C414" t="s">
        <v>2130</v>
      </c>
      <c r="D414" t="s">
        <v>2203</v>
      </c>
      <c r="E414" t="s">
        <v>2204</v>
      </c>
      <c r="F414" t="s">
        <v>1592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4000</v>
      </c>
      <c r="Q414">
        <v>0</v>
      </c>
      <c r="R414">
        <v>0</v>
      </c>
      <c r="S414">
        <f t="shared" si="6"/>
        <v>4000</v>
      </c>
      <c r="T414">
        <v>0</v>
      </c>
      <c r="U414">
        <v>0</v>
      </c>
      <c r="V414">
        <v>0</v>
      </c>
      <c r="W414">
        <v>4000</v>
      </c>
    </row>
    <row r="415" spans="1:23" ht="12.75">
      <c r="A415" t="s">
        <v>2205</v>
      </c>
      <c r="B415" t="s">
        <v>2206</v>
      </c>
      <c r="C415" t="s">
        <v>2130</v>
      </c>
      <c r="D415" t="s">
        <v>2207</v>
      </c>
      <c r="E415" t="s">
        <v>2208</v>
      </c>
      <c r="F415" t="s">
        <v>1592</v>
      </c>
      <c r="G415">
        <v>0</v>
      </c>
      <c r="H415">
        <v>0</v>
      </c>
      <c r="I415">
        <v>0.25</v>
      </c>
      <c r="J415">
        <v>0</v>
      </c>
      <c r="K415">
        <v>5760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f t="shared" si="6"/>
        <v>0</v>
      </c>
      <c r="T415">
        <v>0</v>
      </c>
      <c r="U415">
        <v>0</v>
      </c>
      <c r="V415">
        <v>0</v>
      </c>
      <c r="W415">
        <v>5760</v>
      </c>
    </row>
    <row r="416" spans="1:23" ht="12.75">
      <c r="A416" t="s">
        <v>2209</v>
      </c>
      <c r="B416" t="s">
        <v>2206</v>
      </c>
      <c r="C416" t="s">
        <v>2130</v>
      </c>
      <c r="D416" t="s">
        <v>2210</v>
      </c>
      <c r="E416" t="s">
        <v>2211</v>
      </c>
      <c r="F416" t="s">
        <v>1592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2000</v>
      </c>
      <c r="Q416">
        <v>0</v>
      </c>
      <c r="R416">
        <v>0</v>
      </c>
      <c r="S416">
        <f t="shared" si="6"/>
        <v>2000</v>
      </c>
      <c r="T416">
        <v>0</v>
      </c>
      <c r="U416">
        <v>0</v>
      </c>
      <c r="V416">
        <v>0</v>
      </c>
      <c r="W416">
        <v>2000</v>
      </c>
    </row>
    <row r="417" spans="1:23" ht="12.75">
      <c r="A417" t="s">
        <v>2212</v>
      </c>
      <c r="B417" t="s">
        <v>2213</v>
      </c>
      <c r="C417" t="s">
        <v>2130</v>
      </c>
      <c r="D417" t="s">
        <v>2214</v>
      </c>
      <c r="E417" t="s">
        <v>2215</v>
      </c>
      <c r="F417" t="s">
        <v>1592</v>
      </c>
      <c r="G417">
        <v>0</v>
      </c>
      <c r="H417">
        <v>0.25</v>
      </c>
      <c r="I417">
        <v>0.167</v>
      </c>
      <c r="J417">
        <v>0</v>
      </c>
      <c r="K417">
        <v>19592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f t="shared" si="6"/>
        <v>0</v>
      </c>
      <c r="T417">
        <v>0</v>
      </c>
      <c r="U417">
        <v>0</v>
      </c>
      <c r="V417">
        <v>0</v>
      </c>
      <c r="W417">
        <v>19592</v>
      </c>
    </row>
    <row r="418" spans="1:23" ht="12.75">
      <c r="A418" t="s">
        <v>2216</v>
      </c>
      <c r="B418" t="s">
        <v>2217</v>
      </c>
      <c r="C418" t="s">
        <v>2130</v>
      </c>
      <c r="D418" t="s">
        <v>2218</v>
      </c>
      <c r="E418" t="s">
        <v>2219</v>
      </c>
      <c r="F418" t="s">
        <v>1592</v>
      </c>
      <c r="G418">
        <v>0</v>
      </c>
      <c r="H418">
        <v>0</v>
      </c>
      <c r="I418">
        <v>0</v>
      </c>
      <c r="J418">
        <v>0.498</v>
      </c>
      <c r="K418">
        <v>4299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f t="shared" si="6"/>
        <v>0</v>
      </c>
      <c r="T418">
        <v>0</v>
      </c>
      <c r="U418">
        <v>0</v>
      </c>
      <c r="V418">
        <v>0</v>
      </c>
      <c r="W418">
        <v>4299</v>
      </c>
    </row>
    <row r="419" spans="1:23" ht="12.75">
      <c r="A419" t="s">
        <v>2220</v>
      </c>
      <c r="B419" t="s">
        <v>2221</v>
      </c>
      <c r="C419" t="s">
        <v>2222</v>
      </c>
      <c r="D419" t="s">
        <v>2223</v>
      </c>
      <c r="E419" t="s">
        <v>2224</v>
      </c>
      <c r="F419" t="s">
        <v>1592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67461</v>
      </c>
      <c r="N419">
        <v>0</v>
      </c>
      <c r="O419">
        <v>0</v>
      </c>
      <c r="P419">
        <v>0</v>
      </c>
      <c r="Q419">
        <v>0</v>
      </c>
      <c r="R419">
        <v>0</v>
      </c>
      <c r="S419">
        <f t="shared" si="6"/>
        <v>0</v>
      </c>
      <c r="T419">
        <v>0</v>
      </c>
      <c r="U419">
        <v>0</v>
      </c>
      <c r="V419">
        <v>0</v>
      </c>
      <c r="W419">
        <v>67461</v>
      </c>
    </row>
    <row r="420" spans="1:23" ht="12.75">
      <c r="A420" t="s">
        <v>2225</v>
      </c>
      <c r="B420" t="s">
        <v>2221</v>
      </c>
      <c r="C420" t="s">
        <v>2222</v>
      </c>
      <c r="D420" t="s">
        <v>2226</v>
      </c>
      <c r="E420" t="s">
        <v>2227</v>
      </c>
      <c r="F420" t="s">
        <v>1592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17462</v>
      </c>
      <c r="Q420">
        <v>0</v>
      </c>
      <c r="R420">
        <v>0</v>
      </c>
      <c r="S420">
        <f t="shared" si="6"/>
        <v>17462</v>
      </c>
      <c r="T420">
        <v>0</v>
      </c>
      <c r="U420">
        <v>0</v>
      </c>
      <c r="V420">
        <v>0</v>
      </c>
      <c r="W420">
        <v>17462</v>
      </c>
    </row>
    <row r="421" spans="1:23" ht="12.75">
      <c r="A421" t="s">
        <v>2228</v>
      </c>
      <c r="B421" t="s">
        <v>2229</v>
      </c>
      <c r="C421" t="s">
        <v>2222</v>
      </c>
      <c r="D421" t="s">
        <v>2230</v>
      </c>
      <c r="E421" t="s">
        <v>2231</v>
      </c>
      <c r="F421" t="s">
        <v>1592</v>
      </c>
      <c r="G421">
        <v>0</v>
      </c>
      <c r="H421">
        <v>0.333</v>
      </c>
      <c r="I421">
        <v>0</v>
      </c>
      <c r="J421">
        <v>0</v>
      </c>
      <c r="K421">
        <v>22578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f t="shared" si="6"/>
        <v>0</v>
      </c>
      <c r="T421">
        <v>0</v>
      </c>
      <c r="U421">
        <v>0</v>
      </c>
      <c r="V421">
        <v>0</v>
      </c>
      <c r="W421">
        <v>22578</v>
      </c>
    </row>
    <row r="422" spans="1:23" ht="12.75">
      <c r="A422" t="s">
        <v>2232</v>
      </c>
      <c r="B422" t="s">
        <v>2233</v>
      </c>
      <c r="C422" t="s">
        <v>2222</v>
      </c>
      <c r="D422" t="s">
        <v>2234</v>
      </c>
      <c r="E422" t="s">
        <v>2235</v>
      </c>
      <c r="F422" t="s">
        <v>1592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7647</v>
      </c>
      <c r="O422">
        <v>0</v>
      </c>
      <c r="P422">
        <v>2000</v>
      </c>
      <c r="Q422">
        <v>0</v>
      </c>
      <c r="R422">
        <v>0</v>
      </c>
      <c r="S422">
        <f t="shared" si="6"/>
        <v>2000</v>
      </c>
      <c r="T422">
        <v>0</v>
      </c>
      <c r="U422">
        <v>0</v>
      </c>
      <c r="V422">
        <v>0</v>
      </c>
      <c r="W422">
        <v>9647</v>
      </c>
    </row>
    <row r="423" spans="1:23" ht="12.75">
      <c r="A423" t="s">
        <v>2236</v>
      </c>
      <c r="B423" t="s">
        <v>2237</v>
      </c>
      <c r="C423" t="s">
        <v>2222</v>
      </c>
      <c r="D423" t="s">
        <v>2238</v>
      </c>
      <c r="E423" t="s">
        <v>2239</v>
      </c>
      <c r="F423" t="s">
        <v>1592</v>
      </c>
      <c r="G423">
        <v>0</v>
      </c>
      <c r="H423">
        <v>0</v>
      </c>
      <c r="I423">
        <v>0.5</v>
      </c>
      <c r="J423">
        <v>0.75</v>
      </c>
      <c r="K423">
        <v>34470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f t="shared" si="6"/>
        <v>0</v>
      </c>
      <c r="T423">
        <v>0</v>
      </c>
      <c r="U423">
        <v>0</v>
      </c>
      <c r="V423">
        <v>0</v>
      </c>
      <c r="W423">
        <v>34470</v>
      </c>
    </row>
    <row r="424" spans="1:23" ht="12.75">
      <c r="A424" t="s">
        <v>2240</v>
      </c>
      <c r="B424" t="s">
        <v>2241</v>
      </c>
      <c r="C424" t="s">
        <v>2222</v>
      </c>
      <c r="D424" t="s">
        <v>2242</v>
      </c>
      <c r="E424" t="s">
        <v>2243</v>
      </c>
      <c r="F424" t="s">
        <v>1592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15294</v>
      </c>
      <c r="O424">
        <v>0</v>
      </c>
      <c r="P424">
        <v>20508</v>
      </c>
      <c r="Q424">
        <v>0</v>
      </c>
      <c r="R424">
        <v>0</v>
      </c>
      <c r="S424">
        <f t="shared" si="6"/>
        <v>20508</v>
      </c>
      <c r="T424">
        <v>0</v>
      </c>
      <c r="U424">
        <v>0</v>
      </c>
      <c r="V424">
        <v>0</v>
      </c>
      <c r="W424">
        <v>35802</v>
      </c>
    </row>
    <row r="425" spans="1:23" ht="12.75">
      <c r="A425" t="s">
        <v>2244</v>
      </c>
      <c r="B425" t="s">
        <v>2245</v>
      </c>
      <c r="C425" t="s">
        <v>2222</v>
      </c>
      <c r="D425" t="s">
        <v>2246</v>
      </c>
      <c r="E425" t="s">
        <v>2247</v>
      </c>
      <c r="F425" t="s">
        <v>1592</v>
      </c>
      <c r="G425">
        <v>0</v>
      </c>
      <c r="H425">
        <v>1</v>
      </c>
      <c r="I425">
        <v>1.333</v>
      </c>
      <c r="J425">
        <v>0</v>
      </c>
      <c r="K425">
        <v>96275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f t="shared" si="6"/>
        <v>0</v>
      </c>
      <c r="T425">
        <v>0</v>
      </c>
      <c r="U425">
        <v>0</v>
      </c>
      <c r="V425">
        <v>0</v>
      </c>
      <c r="W425">
        <v>96275</v>
      </c>
    </row>
    <row r="426" spans="1:23" ht="12.75">
      <c r="A426" t="s">
        <v>2248</v>
      </c>
      <c r="B426" t="s">
        <v>2249</v>
      </c>
      <c r="C426" t="s">
        <v>2222</v>
      </c>
      <c r="D426" t="s">
        <v>2250</v>
      </c>
      <c r="E426" t="s">
        <v>2251</v>
      </c>
      <c r="F426" t="s">
        <v>1592</v>
      </c>
      <c r="G426">
        <v>0</v>
      </c>
      <c r="H426">
        <v>0</v>
      </c>
      <c r="I426">
        <v>0</v>
      </c>
      <c r="J426">
        <v>0.546</v>
      </c>
      <c r="K426">
        <v>14868</v>
      </c>
      <c r="L426">
        <v>0</v>
      </c>
      <c r="M426">
        <v>0</v>
      </c>
      <c r="N426">
        <v>15294</v>
      </c>
      <c r="O426">
        <v>0</v>
      </c>
      <c r="P426">
        <v>28000</v>
      </c>
      <c r="Q426">
        <v>0</v>
      </c>
      <c r="R426">
        <v>0</v>
      </c>
      <c r="S426">
        <f t="shared" si="6"/>
        <v>28000</v>
      </c>
      <c r="T426">
        <v>0</v>
      </c>
      <c r="U426">
        <v>0</v>
      </c>
      <c r="V426">
        <v>0</v>
      </c>
      <c r="W426">
        <v>58162</v>
      </c>
    </row>
    <row r="427" spans="1:23" ht="12.75">
      <c r="A427" t="s">
        <v>2252</v>
      </c>
      <c r="B427" t="s">
        <v>2253</v>
      </c>
      <c r="C427" t="s">
        <v>2222</v>
      </c>
      <c r="D427" t="s">
        <v>2254</v>
      </c>
      <c r="E427" t="s">
        <v>2255</v>
      </c>
      <c r="F427" t="s">
        <v>1592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2000</v>
      </c>
      <c r="Q427">
        <v>0</v>
      </c>
      <c r="R427">
        <v>0</v>
      </c>
      <c r="S427">
        <f t="shared" si="6"/>
        <v>2000</v>
      </c>
      <c r="T427">
        <v>0</v>
      </c>
      <c r="U427">
        <v>0</v>
      </c>
      <c r="V427">
        <v>0</v>
      </c>
      <c r="W427">
        <v>2000</v>
      </c>
    </row>
    <row r="428" spans="1:23" ht="12.75">
      <c r="A428" t="s">
        <v>2256</v>
      </c>
      <c r="B428" t="s">
        <v>2257</v>
      </c>
      <c r="C428" t="s">
        <v>2222</v>
      </c>
      <c r="D428" t="s">
        <v>2258</v>
      </c>
      <c r="E428" t="s">
        <v>2259</v>
      </c>
      <c r="F428" t="s">
        <v>1592</v>
      </c>
      <c r="G428">
        <v>0</v>
      </c>
      <c r="H428">
        <v>1.75</v>
      </c>
      <c r="I428">
        <v>0.5</v>
      </c>
      <c r="J428">
        <v>0</v>
      </c>
      <c r="K428">
        <v>137225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f t="shared" si="6"/>
        <v>0</v>
      </c>
      <c r="T428">
        <v>0</v>
      </c>
      <c r="U428">
        <v>0</v>
      </c>
      <c r="V428">
        <v>0</v>
      </c>
      <c r="W428">
        <v>137225</v>
      </c>
    </row>
    <row r="429" spans="1:23" ht="12.75">
      <c r="A429" t="s">
        <v>2260</v>
      </c>
      <c r="B429" t="s">
        <v>2261</v>
      </c>
      <c r="C429" t="s">
        <v>2222</v>
      </c>
      <c r="D429" t="s">
        <v>2262</v>
      </c>
      <c r="E429" t="s">
        <v>2263</v>
      </c>
      <c r="F429" t="s">
        <v>1592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8000</v>
      </c>
      <c r="Q429">
        <v>0</v>
      </c>
      <c r="R429">
        <v>0</v>
      </c>
      <c r="S429">
        <f t="shared" si="6"/>
        <v>8000</v>
      </c>
      <c r="T429">
        <v>0</v>
      </c>
      <c r="U429">
        <v>0</v>
      </c>
      <c r="V429">
        <v>0</v>
      </c>
      <c r="W429">
        <v>8000</v>
      </c>
    </row>
    <row r="430" spans="1:23" ht="12.75">
      <c r="A430" t="s">
        <v>2264</v>
      </c>
      <c r="B430" t="s">
        <v>2265</v>
      </c>
      <c r="C430" t="s">
        <v>2222</v>
      </c>
      <c r="D430" t="s">
        <v>2266</v>
      </c>
      <c r="E430" t="s">
        <v>2267</v>
      </c>
      <c r="F430" t="s">
        <v>1592</v>
      </c>
      <c r="G430">
        <v>0</v>
      </c>
      <c r="H430">
        <v>0.643</v>
      </c>
      <c r="I430">
        <v>0.667</v>
      </c>
      <c r="J430">
        <v>0</v>
      </c>
      <c r="K430">
        <v>60986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f t="shared" si="6"/>
        <v>0</v>
      </c>
      <c r="T430">
        <v>0</v>
      </c>
      <c r="U430">
        <v>0</v>
      </c>
      <c r="V430">
        <v>0</v>
      </c>
      <c r="W430">
        <v>60986</v>
      </c>
    </row>
    <row r="431" spans="1:23" ht="12.75">
      <c r="A431" t="s">
        <v>2268</v>
      </c>
      <c r="B431" t="s">
        <v>2269</v>
      </c>
      <c r="C431" t="s">
        <v>2222</v>
      </c>
      <c r="D431" t="s">
        <v>2270</v>
      </c>
      <c r="E431" t="s">
        <v>2271</v>
      </c>
      <c r="F431" t="s">
        <v>1592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4000</v>
      </c>
      <c r="Q431">
        <v>0</v>
      </c>
      <c r="R431">
        <v>0</v>
      </c>
      <c r="S431">
        <f t="shared" si="6"/>
        <v>4000</v>
      </c>
      <c r="T431">
        <v>0</v>
      </c>
      <c r="U431">
        <v>0</v>
      </c>
      <c r="V431">
        <v>0</v>
      </c>
      <c r="W431">
        <v>4000</v>
      </c>
    </row>
    <row r="432" spans="1:23" ht="12.75">
      <c r="A432" t="s">
        <v>2272</v>
      </c>
      <c r="B432" t="s">
        <v>2273</v>
      </c>
      <c r="C432" t="s">
        <v>2222</v>
      </c>
      <c r="D432" t="s">
        <v>2274</v>
      </c>
      <c r="E432" t="s">
        <v>2275</v>
      </c>
      <c r="F432" t="s">
        <v>1592</v>
      </c>
      <c r="G432">
        <v>0</v>
      </c>
      <c r="H432">
        <v>0.667</v>
      </c>
      <c r="I432">
        <v>0.152</v>
      </c>
      <c r="J432">
        <v>0</v>
      </c>
      <c r="K432">
        <v>40770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f t="shared" si="6"/>
        <v>0</v>
      </c>
      <c r="T432">
        <v>0</v>
      </c>
      <c r="U432">
        <v>0</v>
      </c>
      <c r="V432">
        <v>0</v>
      </c>
      <c r="W432">
        <v>40770</v>
      </c>
    </row>
    <row r="433" spans="1:23" ht="12.75">
      <c r="A433" t="s">
        <v>2276</v>
      </c>
      <c r="B433" t="s">
        <v>2277</v>
      </c>
      <c r="C433" t="s">
        <v>2278</v>
      </c>
      <c r="D433" t="s">
        <v>2279</v>
      </c>
      <c r="E433" t="s">
        <v>2280</v>
      </c>
      <c r="F433" t="s">
        <v>1592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30920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f t="shared" si="6"/>
        <v>0</v>
      </c>
      <c r="T433">
        <v>0</v>
      </c>
      <c r="U433">
        <v>0</v>
      </c>
      <c r="V433">
        <v>0</v>
      </c>
      <c r="W433">
        <v>30920</v>
      </c>
    </row>
    <row r="434" spans="1:23" ht="12.75">
      <c r="A434" t="s">
        <v>2281</v>
      </c>
      <c r="B434" t="s">
        <v>2282</v>
      </c>
      <c r="C434" t="s">
        <v>2278</v>
      </c>
      <c r="D434" t="s">
        <v>2283</v>
      </c>
      <c r="E434" t="s">
        <v>2284</v>
      </c>
      <c r="F434" t="s">
        <v>1592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18955</v>
      </c>
      <c r="Q434">
        <v>0</v>
      </c>
      <c r="R434">
        <v>0</v>
      </c>
      <c r="S434">
        <f t="shared" si="6"/>
        <v>18955</v>
      </c>
      <c r="T434">
        <v>0</v>
      </c>
      <c r="U434">
        <v>0</v>
      </c>
      <c r="V434">
        <v>0</v>
      </c>
      <c r="W434">
        <v>18955</v>
      </c>
    </row>
    <row r="435" spans="1:23" ht="12.75">
      <c r="A435" t="s">
        <v>2285</v>
      </c>
      <c r="B435" t="s">
        <v>2286</v>
      </c>
      <c r="C435" t="s">
        <v>2278</v>
      </c>
      <c r="D435" t="s">
        <v>2287</v>
      </c>
      <c r="E435" t="s">
        <v>2288</v>
      </c>
      <c r="F435" t="s">
        <v>1592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1020</v>
      </c>
      <c r="O435">
        <v>0</v>
      </c>
      <c r="P435">
        <v>2000</v>
      </c>
      <c r="Q435">
        <v>0</v>
      </c>
      <c r="R435">
        <v>0</v>
      </c>
      <c r="S435">
        <f t="shared" si="6"/>
        <v>2000</v>
      </c>
      <c r="T435">
        <v>0</v>
      </c>
      <c r="U435">
        <v>0</v>
      </c>
      <c r="V435">
        <v>0</v>
      </c>
      <c r="W435">
        <v>3020</v>
      </c>
    </row>
    <row r="436" spans="1:23" ht="12.75">
      <c r="A436" t="s">
        <v>2289</v>
      </c>
      <c r="B436" t="s">
        <v>2290</v>
      </c>
      <c r="C436" t="s">
        <v>2278</v>
      </c>
      <c r="D436" t="s">
        <v>2291</v>
      </c>
      <c r="E436" t="s">
        <v>2292</v>
      </c>
      <c r="F436" t="s">
        <v>1592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1020</v>
      </c>
      <c r="O436">
        <v>0</v>
      </c>
      <c r="P436">
        <v>28138</v>
      </c>
      <c r="Q436">
        <v>0</v>
      </c>
      <c r="R436">
        <v>0</v>
      </c>
      <c r="S436">
        <f t="shared" si="6"/>
        <v>28138</v>
      </c>
      <c r="T436">
        <v>0</v>
      </c>
      <c r="U436">
        <v>0</v>
      </c>
      <c r="V436">
        <v>0</v>
      </c>
      <c r="W436">
        <v>29158</v>
      </c>
    </row>
    <row r="437" spans="1:23" ht="12.75">
      <c r="A437" t="s">
        <v>2293</v>
      </c>
      <c r="B437" t="s">
        <v>2294</v>
      </c>
      <c r="C437" t="s">
        <v>2278</v>
      </c>
      <c r="D437" t="s">
        <v>2295</v>
      </c>
      <c r="E437" t="s">
        <v>2296</v>
      </c>
      <c r="F437" t="s">
        <v>1592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845</v>
      </c>
      <c r="Q437">
        <v>0</v>
      </c>
      <c r="R437">
        <v>0</v>
      </c>
      <c r="S437">
        <f t="shared" si="6"/>
        <v>845</v>
      </c>
      <c r="T437">
        <v>0</v>
      </c>
      <c r="U437">
        <v>0</v>
      </c>
      <c r="V437">
        <v>0</v>
      </c>
      <c r="W437">
        <v>845</v>
      </c>
    </row>
    <row r="438" spans="1:23" ht="12.75">
      <c r="A438" t="s">
        <v>2297</v>
      </c>
      <c r="B438" t="s">
        <v>2298</v>
      </c>
      <c r="C438" t="s">
        <v>2278</v>
      </c>
      <c r="D438" t="s">
        <v>2299</v>
      </c>
      <c r="E438" t="s">
        <v>2300</v>
      </c>
      <c r="F438" t="s">
        <v>1592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1020</v>
      </c>
      <c r="O438">
        <v>0</v>
      </c>
      <c r="P438">
        <v>2000</v>
      </c>
      <c r="Q438">
        <v>0</v>
      </c>
      <c r="R438">
        <v>0</v>
      </c>
      <c r="S438">
        <f t="shared" si="6"/>
        <v>2000</v>
      </c>
      <c r="T438">
        <v>0</v>
      </c>
      <c r="U438">
        <v>0</v>
      </c>
      <c r="V438">
        <v>0</v>
      </c>
      <c r="W438">
        <v>3020</v>
      </c>
    </row>
    <row r="439" spans="1:23" ht="12.75">
      <c r="A439" t="s">
        <v>2301</v>
      </c>
      <c r="B439" t="s">
        <v>2302</v>
      </c>
      <c r="C439" t="s">
        <v>2278</v>
      </c>
      <c r="D439" t="s">
        <v>2303</v>
      </c>
      <c r="E439" t="s">
        <v>2304</v>
      </c>
      <c r="F439" t="s">
        <v>1592</v>
      </c>
      <c r="G439">
        <v>0</v>
      </c>
      <c r="H439">
        <v>0.5</v>
      </c>
      <c r="I439">
        <v>0.167</v>
      </c>
      <c r="J439">
        <v>0</v>
      </c>
      <c r="K439">
        <v>23656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f t="shared" si="6"/>
        <v>0</v>
      </c>
      <c r="T439">
        <v>0</v>
      </c>
      <c r="U439">
        <v>0</v>
      </c>
      <c r="V439">
        <v>0</v>
      </c>
      <c r="W439">
        <v>23656</v>
      </c>
    </row>
    <row r="440" spans="1:23" ht="12.75">
      <c r="A440" t="s">
        <v>2305</v>
      </c>
      <c r="B440" t="s">
        <v>2306</v>
      </c>
      <c r="C440" t="s">
        <v>2307</v>
      </c>
      <c r="D440" t="s">
        <v>2308</v>
      </c>
      <c r="E440" t="s">
        <v>2309</v>
      </c>
      <c r="F440" t="s">
        <v>1592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138637</v>
      </c>
      <c r="N440">
        <v>0</v>
      </c>
      <c r="O440">
        <v>0</v>
      </c>
      <c r="P440">
        <v>0</v>
      </c>
      <c r="Q440">
        <v>0</v>
      </c>
      <c r="R440">
        <v>0</v>
      </c>
      <c r="S440">
        <f t="shared" si="6"/>
        <v>0</v>
      </c>
      <c r="T440">
        <v>0</v>
      </c>
      <c r="U440">
        <v>0</v>
      </c>
      <c r="V440">
        <v>0</v>
      </c>
      <c r="W440">
        <v>138637</v>
      </c>
    </row>
    <row r="441" spans="1:23" ht="12.75">
      <c r="A441" t="s">
        <v>2310</v>
      </c>
      <c r="B441" t="s">
        <v>2311</v>
      </c>
      <c r="C441" t="s">
        <v>2307</v>
      </c>
      <c r="D441" t="s">
        <v>2312</v>
      </c>
      <c r="E441" t="s">
        <v>2313</v>
      </c>
      <c r="F441" t="s">
        <v>1592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25000</v>
      </c>
      <c r="Q441">
        <v>0</v>
      </c>
      <c r="R441">
        <v>0</v>
      </c>
      <c r="S441">
        <f t="shared" si="6"/>
        <v>25000</v>
      </c>
      <c r="T441">
        <v>0</v>
      </c>
      <c r="U441">
        <v>0</v>
      </c>
      <c r="V441">
        <v>0</v>
      </c>
      <c r="W441">
        <v>25000</v>
      </c>
    </row>
    <row r="442" spans="1:23" ht="12.75">
      <c r="A442" t="s">
        <v>2314</v>
      </c>
      <c r="B442" t="s">
        <v>2315</v>
      </c>
      <c r="C442" t="s">
        <v>2307</v>
      </c>
      <c r="D442" t="s">
        <v>2316</v>
      </c>
      <c r="E442" t="s">
        <v>2317</v>
      </c>
      <c r="F442" t="s">
        <v>1592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7647</v>
      </c>
      <c r="O442">
        <v>0</v>
      </c>
      <c r="P442">
        <v>4000</v>
      </c>
      <c r="Q442">
        <v>0</v>
      </c>
      <c r="R442">
        <v>0</v>
      </c>
      <c r="S442">
        <f t="shared" si="6"/>
        <v>4000</v>
      </c>
      <c r="T442">
        <v>0</v>
      </c>
      <c r="U442">
        <v>0</v>
      </c>
      <c r="V442">
        <v>0</v>
      </c>
      <c r="W442">
        <v>11647</v>
      </c>
    </row>
    <row r="443" spans="1:23" ht="12.75">
      <c r="A443" t="s">
        <v>2318</v>
      </c>
      <c r="B443" t="s">
        <v>2319</v>
      </c>
      <c r="C443" t="s">
        <v>2307</v>
      </c>
      <c r="D443" t="s">
        <v>2320</v>
      </c>
      <c r="E443" t="s">
        <v>2321</v>
      </c>
      <c r="F443" t="s">
        <v>1592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7647</v>
      </c>
      <c r="O443">
        <v>0</v>
      </c>
      <c r="P443">
        <v>63087</v>
      </c>
      <c r="Q443">
        <v>0</v>
      </c>
      <c r="R443">
        <v>0</v>
      </c>
      <c r="S443">
        <f t="shared" si="6"/>
        <v>63087</v>
      </c>
      <c r="T443">
        <v>0</v>
      </c>
      <c r="U443">
        <v>0</v>
      </c>
      <c r="V443">
        <v>0</v>
      </c>
      <c r="W443">
        <v>70734</v>
      </c>
    </row>
    <row r="444" spans="1:23" ht="12.75">
      <c r="A444" t="s">
        <v>2322</v>
      </c>
      <c r="B444" t="s">
        <v>2323</v>
      </c>
      <c r="C444" t="s">
        <v>2307</v>
      </c>
      <c r="D444" t="s">
        <v>2324</v>
      </c>
      <c r="E444" t="s">
        <v>2325</v>
      </c>
      <c r="F444" t="s">
        <v>1592</v>
      </c>
      <c r="G444">
        <v>0</v>
      </c>
      <c r="H444">
        <v>0.167</v>
      </c>
      <c r="I444">
        <v>0.083</v>
      </c>
      <c r="J444">
        <v>0</v>
      </c>
      <c r="K444">
        <v>12583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f t="shared" si="6"/>
        <v>0</v>
      </c>
      <c r="T444">
        <v>0</v>
      </c>
      <c r="U444">
        <v>0</v>
      </c>
      <c r="V444">
        <v>0</v>
      </c>
      <c r="W444">
        <v>12583</v>
      </c>
    </row>
    <row r="445" spans="1:23" ht="12.75">
      <c r="A445" t="s">
        <v>2326</v>
      </c>
      <c r="B445" t="s">
        <v>2327</v>
      </c>
      <c r="C445" t="s">
        <v>2307</v>
      </c>
      <c r="D445" t="s">
        <v>2328</v>
      </c>
      <c r="E445" t="s">
        <v>2329</v>
      </c>
      <c r="F445" t="s">
        <v>1592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3850</v>
      </c>
      <c r="Q445">
        <v>0</v>
      </c>
      <c r="R445">
        <v>0</v>
      </c>
      <c r="S445">
        <f t="shared" si="6"/>
        <v>3850</v>
      </c>
      <c r="T445">
        <v>0</v>
      </c>
      <c r="U445">
        <v>0</v>
      </c>
      <c r="V445">
        <v>0</v>
      </c>
      <c r="W445">
        <v>3850</v>
      </c>
    </row>
    <row r="446" spans="1:23" ht="12.75">
      <c r="A446" t="s">
        <v>2330</v>
      </c>
      <c r="B446" t="s">
        <v>2331</v>
      </c>
      <c r="C446" t="s">
        <v>2307</v>
      </c>
      <c r="D446" t="s">
        <v>2332</v>
      </c>
      <c r="E446" t="s">
        <v>2333</v>
      </c>
      <c r="F446" t="s">
        <v>1592</v>
      </c>
      <c r="G446">
        <v>0</v>
      </c>
      <c r="H446">
        <v>0</v>
      </c>
      <c r="I446">
        <v>0.083</v>
      </c>
      <c r="J446">
        <v>0.167</v>
      </c>
      <c r="K446">
        <v>9830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f t="shared" si="6"/>
        <v>0</v>
      </c>
      <c r="T446">
        <v>0</v>
      </c>
      <c r="U446">
        <v>0</v>
      </c>
      <c r="V446">
        <v>0</v>
      </c>
      <c r="W446">
        <v>9830</v>
      </c>
    </row>
    <row r="447" spans="1:23" ht="12.75">
      <c r="A447" t="s">
        <v>2334</v>
      </c>
      <c r="B447" t="s">
        <v>2335</v>
      </c>
      <c r="C447" t="s">
        <v>2307</v>
      </c>
      <c r="D447" t="s">
        <v>2336</v>
      </c>
      <c r="E447" t="s">
        <v>2337</v>
      </c>
      <c r="F447" t="s">
        <v>1592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7647</v>
      </c>
      <c r="O447">
        <v>0</v>
      </c>
      <c r="P447">
        <v>4000</v>
      </c>
      <c r="Q447">
        <v>0</v>
      </c>
      <c r="R447">
        <v>0</v>
      </c>
      <c r="S447">
        <f t="shared" si="6"/>
        <v>4000</v>
      </c>
      <c r="T447">
        <v>0</v>
      </c>
      <c r="U447">
        <v>0</v>
      </c>
      <c r="V447">
        <v>0</v>
      </c>
      <c r="W447">
        <v>11647</v>
      </c>
    </row>
    <row r="448" spans="1:23" ht="12.75">
      <c r="A448" t="s">
        <v>2338</v>
      </c>
      <c r="B448" t="s">
        <v>2339</v>
      </c>
      <c r="C448" t="s">
        <v>2307</v>
      </c>
      <c r="D448" t="s">
        <v>2340</v>
      </c>
      <c r="E448" t="s">
        <v>2426</v>
      </c>
      <c r="F448" t="s">
        <v>1592</v>
      </c>
      <c r="G448">
        <v>0</v>
      </c>
      <c r="H448">
        <v>1</v>
      </c>
      <c r="I448">
        <v>0.319</v>
      </c>
      <c r="J448">
        <v>0</v>
      </c>
      <c r="K448">
        <v>44795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f t="shared" si="6"/>
        <v>0</v>
      </c>
      <c r="T448">
        <v>0</v>
      </c>
      <c r="U448">
        <v>0</v>
      </c>
      <c r="V448">
        <v>0</v>
      </c>
      <c r="W448">
        <v>44795</v>
      </c>
    </row>
    <row r="449" spans="1:23" ht="12.75">
      <c r="A449" t="s">
        <v>2427</v>
      </c>
      <c r="B449" t="s">
        <v>2428</v>
      </c>
      <c r="C449" t="s">
        <v>2429</v>
      </c>
      <c r="D449" t="s">
        <v>2430</v>
      </c>
      <c r="E449" t="s">
        <v>2431</v>
      </c>
      <c r="F449" t="s">
        <v>1592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6611</v>
      </c>
      <c r="N449">
        <v>0</v>
      </c>
      <c r="O449">
        <v>0</v>
      </c>
      <c r="P449">
        <v>0</v>
      </c>
      <c r="Q449">
        <v>0</v>
      </c>
      <c r="R449">
        <v>0</v>
      </c>
      <c r="S449">
        <f t="shared" si="6"/>
        <v>0</v>
      </c>
      <c r="T449">
        <v>0</v>
      </c>
      <c r="U449">
        <v>0</v>
      </c>
      <c r="V449">
        <v>0</v>
      </c>
      <c r="W449">
        <v>6611</v>
      </c>
    </row>
    <row r="450" spans="1:23" ht="12.75">
      <c r="A450" t="s">
        <v>2432</v>
      </c>
      <c r="B450" t="s">
        <v>2433</v>
      </c>
      <c r="C450" t="s">
        <v>2429</v>
      </c>
      <c r="D450" t="s">
        <v>2434</v>
      </c>
      <c r="E450" t="s">
        <v>2435</v>
      </c>
      <c r="F450" t="s">
        <v>1592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8129</v>
      </c>
      <c r="Q450">
        <v>0</v>
      </c>
      <c r="R450">
        <v>0</v>
      </c>
      <c r="S450">
        <f t="shared" si="6"/>
        <v>8129</v>
      </c>
      <c r="T450">
        <v>0</v>
      </c>
      <c r="U450">
        <v>0</v>
      </c>
      <c r="V450">
        <v>0</v>
      </c>
      <c r="W450">
        <v>8129</v>
      </c>
    </row>
    <row r="451" spans="1:23" ht="12.75">
      <c r="A451" t="s">
        <v>2436</v>
      </c>
      <c r="B451" t="s">
        <v>2437</v>
      </c>
      <c r="C451" t="s">
        <v>2429</v>
      </c>
      <c r="D451" t="s">
        <v>2438</v>
      </c>
      <c r="E451" t="s">
        <v>2439</v>
      </c>
      <c r="F451" t="s">
        <v>1592</v>
      </c>
      <c r="G451">
        <v>0</v>
      </c>
      <c r="H451">
        <v>0.167</v>
      </c>
      <c r="I451">
        <v>0</v>
      </c>
      <c r="J451">
        <v>0</v>
      </c>
      <c r="K451">
        <v>9886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f t="shared" si="6"/>
        <v>0</v>
      </c>
      <c r="T451">
        <v>0</v>
      </c>
      <c r="U451">
        <v>0</v>
      </c>
      <c r="V451">
        <v>0</v>
      </c>
      <c r="W451">
        <v>9886</v>
      </c>
    </row>
    <row r="452" spans="1:23" ht="12.75">
      <c r="A452" t="s">
        <v>2440</v>
      </c>
      <c r="B452" t="s">
        <v>2441</v>
      </c>
      <c r="C452" t="s">
        <v>2429</v>
      </c>
      <c r="D452" t="s">
        <v>2442</v>
      </c>
      <c r="E452" t="s">
        <v>2443</v>
      </c>
      <c r="F452" t="s">
        <v>1592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1020</v>
      </c>
      <c r="O452">
        <v>0</v>
      </c>
      <c r="P452">
        <v>4000</v>
      </c>
      <c r="Q452">
        <v>0</v>
      </c>
      <c r="R452">
        <v>0</v>
      </c>
      <c r="S452">
        <f aca="true" t="shared" si="7" ref="S452:S522">SUM(P452:R452)</f>
        <v>4000</v>
      </c>
      <c r="T452">
        <v>0</v>
      </c>
      <c r="U452">
        <v>0</v>
      </c>
      <c r="V452">
        <v>0</v>
      </c>
      <c r="W452">
        <v>5020</v>
      </c>
    </row>
    <row r="453" spans="1:23" ht="12.75">
      <c r="A453" t="s">
        <v>2444</v>
      </c>
      <c r="B453" t="s">
        <v>2448</v>
      </c>
      <c r="C453" t="s">
        <v>2449</v>
      </c>
      <c r="D453" t="s">
        <v>2450</v>
      </c>
      <c r="E453" t="s">
        <v>2451</v>
      </c>
      <c r="F453" t="s">
        <v>1592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5000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f t="shared" si="7"/>
        <v>0</v>
      </c>
      <c r="T453">
        <v>0</v>
      </c>
      <c r="U453">
        <v>0</v>
      </c>
      <c r="V453">
        <v>0</v>
      </c>
      <c r="W453">
        <v>5000</v>
      </c>
    </row>
    <row r="454" spans="1:23" ht="12.75">
      <c r="A454" t="s">
        <v>2452</v>
      </c>
      <c r="B454" t="s">
        <v>2453</v>
      </c>
      <c r="C454" t="s">
        <v>2449</v>
      </c>
      <c r="D454" t="s">
        <v>2454</v>
      </c>
      <c r="E454" t="s">
        <v>2455</v>
      </c>
      <c r="F454" t="s">
        <v>1592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23287</v>
      </c>
      <c r="Q454">
        <v>0</v>
      </c>
      <c r="R454">
        <v>0</v>
      </c>
      <c r="S454">
        <f t="shared" si="7"/>
        <v>23287</v>
      </c>
      <c r="T454">
        <v>0</v>
      </c>
      <c r="U454">
        <v>0</v>
      </c>
      <c r="V454">
        <v>0</v>
      </c>
      <c r="W454">
        <v>23287</v>
      </c>
    </row>
    <row r="455" spans="1:23" ht="12.75">
      <c r="A455" t="s">
        <v>2456</v>
      </c>
      <c r="B455" t="s">
        <v>2457</v>
      </c>
      <c r="C455" t="s">
        <v>2449</v>
      </c>
      <c r="D455" t="s">
        <v>2458</v>
      </c>
      <c r="E455" t="s">
        <v>2459</v>
      </c>
      <c r="F455" t="s">
        <v>1592</v>
      </c>
      <c r="G455">
        <v>0</v>
      </c>
      <c r="H455">
        <v>0.667</v>
      </c>
      <c r="I455">
        <v>0</v>
      </c>
      <c r="J455">
        <v>0</v>
      </c>
      <c r="K455">
        <v>40005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f t="shared" si="7"/>
        <v>0</v>
      </c>
      <c r="T455">
        <v>0</v>
      </c>
      <c r="U455">
        <v>0</v>
      </c>
      <c r="V455">
        <v>0</v>
      </c>
      <c r="W455">
        <v>40005</v>
      </c>
    </row>
    <row r="456" spans="1:23" ht="12.75">
      <c r="A456" t="s">
        <v>2460</v>
      </c>
      <c r="B456" t="s">
        <v>2461</v>
      </c>
      <c r="C456" t="s">
        <v>2449</v>
      </c>
      <c r="D456" t="s">
        <v>2462</v>
      </c>
      <c r="E456" t="s">
        <v>2463</v>
      </c>
      <c r="F456" t="s">
        <v>1592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7647</v>
      </c>
      <c r="O456">
        <v>0</v>
      </c>
      <c r="P456">
        <v>13000</v>
      </c>
      <c r="Q456">
        <v>0</v>
      </c>
      <c r="R456">
        <v>0</v>
      </c>
      <c r="S456">
        <f t="shared" si="7"/>
        <v>13000</v>
      </c>
      <c r="T456">
        <v>0</v>
      </c>
      <c r="U456">
        <v>0</v>
      </c>
      <c r="V456">
        <v>0</v>
      </c>
      <c r="W456">
        <v>20647</v>
      </c>
    </row>
    <row r="464" spans="1:23" ht="12.75">
      <c r="A464" t="s">
        <v>933</v>
      </c>
      <c r="B464" t="s">
        <v>934</v>
      </c>
      <c r="C464" t="s">
        <v>3191</v>
      </c>
      <c r="D464" t="s">
        <v>935</v>
      </c>
      <c r="F464" t="s">
        <v>1592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850</v>
      </c>
      <c r="N464">
        <v>0</v>
      </c>
      <c r="O464">
        <v>0</v>
      </c>
      <c r="P464">
        <v>9400</v>
      </c>
      <c r="Q464">
        <v>0</v>
      </c>
      <c r="R464">
        <v>0</v>
      </c>
      <c r="S464">
        <f t="shared" si="7"/>
        <v>9400</v>
      </c>
      <c r="T464">
        <v>0</v>
      </c>
      <c r="U464">
        <v>521</v>
      </c>
      <c r="V464">
        <v>236</v>
      </c>
      <c r="W464">
        <v>11007</v>
      </c>
    </row>
    <row r="465" spans="1:23" ht="12.75">
      <c r="A465" t="s">
        <v>936</v>
      </c>
      <c r="B465" t="s">
        <v>937</v>
      </c>
      <c r="C465" t="s">
        <v>3191</v>
      </c>
      <c r="D465" t="s">
        <v>938</v>
      </c>
      <c r="F465" t="s">
        <v>1592</v>
      </c>
      <c r="G465">
        <v>0</v>
      </c>
      <c r="H465">
        <v>0</v>
      </c>
      <c r="I465">
        <v>1.5</v>
      </c>
      <c r="J465">
        <v>0</v>
      </c>
      <c r="K465">
        <v>41808</v>
      </c>
      <c r="L465">
        <v>0</v>
      </c>
      <c r="M465">
        <v>0</v>
      </c>
      <c r="N465">
        <v>0</v>
      </c>
      <c r="O465">
        <v>12950</v>
      </c>
      <c r="P465">
        <v>0</v>
      </c>
      <c r="Q465">
        <v>0</v>
      </c>
      <c r="R465">
        <v>0</v>
      </c>
      <c r="S465">
        <f t="shared" si="7"/>
        <v>0</v>
      </c>
      <c r="T465">
        <v>0</v>
      </c>
      <c r="U465">
        <v>0</v>
      </c>
      <c r="V465">
        <v>0</v>
      </c>
      <c r="W465">
        <v>54758</v>
      </c>
    </row>
    <row r="466" spans="1:23" ht="12.75">
      <c r="A466" t="s">
        <v>939</v>
      </c>
      <c r="B466" t="s">
        <v>940</v>
      </c>
      <c r="C466" t="s">
        <v>941</v>
      </c>
      <c r="D466" t="s">
        <v>942</v>
      </c>
      <c r="F466" t="s">
        <v>1592</v>
      </c>
      <c r="G466">
        <v>0</v>
      </c>
      <c r="H466">
        <v>1.741</v>
      </c>
      <c r="I466">
        <v>10.545</v>
      </c>
      <c r="J466">
        <v>8.166</v>
      </c>
      <c r="K466">
        <v>904412</v>
      </c>
      <c r="L466">
        <v>0</v>
      </c>
      <c r="M466">
        <v>336000</v>
      </c>
      <c r="N466">
        <v>240000</v>
      </c>
      <c r="O466">
        <v>17327</v>
      </c>
      <c r="P466">
        <v>0</v>
      </c>
      <c r="Q466">
        <v>0</v>
      </c>
      <c r="R466">
        <v>0</v>
      </c>
      <c r="S466">
        <f t="shared" si="7"/>
        <v>0</v>
      </c>
      <c r="T466">
        <v>0</v>
      </c>
      <c r="U466">
        <v>0</v>
      </c>
      <c r="V466">
        <v>0</v>
      </c>
      <c r="W466">
        <v>1497739</v>
      </c>
    </row>
    <row r="467" spans="1:23" ht="12.75">
      <c r="A467" t="s">
        <v>943</v>
      </c>
      <c r="B467" t="s">
        <v>944</v>
      </c>
      <c r="C467" t="s">
        <v>3191</v>
      </c>
      <c r="D467" t="s">
        <v>945</v>
      </c>
      <c r="F467" t="s">
        <v>1592</v>
      </c>
      <c r="G467">
        <v>0</v>
      </c>
      <c r="H467">
        <v>0</v>
      </c>
      <c r="I467">
        <v>1.255</v>
      </c>
      <c r="J467">
        <v>0</v>
      </c>
      <c r="K467">
        <v>32253</v>
      </c>
      <c r="L467">
        <v>0</v>
      </c>
      <c r="M467">
        <v>10000</v>
      </c>
      <c r="N467">
        <v>0</v>
      </c>
      <c r="O467">
        <v>3878</v>
      </c>
      <c r="P467">
        <v>18000</v>
      </c>
      <c r="Q467">
        <v>1000</v>
      </c>
      <c r="R467">
        <v>10000</v>
      </c>
      <c r="S467">
        <f t="shared" si="7"/>
        <v>29000</v>
      </c>
      <c r="T467">
        <v>0</v>
      </c>
      <c r="U467">
        <v>0</v>
      </c>
      <c r="V467">
        <v>5000</v>
      </c>
      <c r="W467">
        <v>80131</v>
      </c>
    </row>
    <row r="468" spans="1:23" ht="12.75">
      <c r="A468" t="s">
        <v>946</v>
      </c>
      <c r="B468" t="s">
        <v>947</v>
      </c>
      <c r="C468" t="s">
        <v>948</v>
      </c>
      <c r="D468" t="s">
        <v>949</v>
      </c>
      <c r="F468" t="s">
        <v>1592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2375</v>
      </c>
      <c r="P468">
        <v>8300</v>
      </c>
      <c r="Q468">
        <v>0</v>
      </c>
      <c r="R468">
        <v>2513</v>
      </c>
      <c r="S468">
        <f t="shared" si="7"/>
        <v>10813</v>
      </c>
      <c r="T468">
        <v>0</v>
      </c>
      <c r="U468">
        <v>0</v>
      </c>
      <c r="V468">
        <v>0</v>
      </c>
      <c r="W468">
        <v>13188</v>
      </c>
    </row>
    <row r="469" spans="1:23" ht="12.75">
      <c r="A469" t="s">
        <v>950</v>
      </c>
      <c r="B469" t="s">
        <v>951</v>
      </c>
      <c r="C469" t="s">
        <v>948</v>
      </c>
      <c r="D469" t="s">
        <v>952</v>
      </c>
      <c r="F469" t="s">
        <v>1592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3000</v>
      </c>
      <c r="N469">
        <v>0</v>
      </c>
      <c r="O469">
        <v>530</v>
      </c>
      <c r="P469">
        <v>21000</v>
      </c>
      <c r="Q469">
        <v>125</v>
      </c>
      <c r="R469">
        <v>14000</v>
      </c>
      <c r="S469">
        <f t="shared" si="7"/>
        <v>35125</v>
      </c>
      <c r="T469">
        <v>0</v>
      </c>
      <c r="U469">
        <v>0</v>
      </c>
      <c r="V469">
        <v>100</v>
      </c>
      <c r="W469">
        <v>38755</v>
      </c>
    </row>
    <row r="470" spans="1:23" ht="12.75">
      <c r="A470" t="s">
        <v>953</v>
      </c>
      <c r="B470" t="s">
        <v>954</v>
      </c>
      <c r="C470" t="s">
        <v>948</v>
      </c>
      <c r="D470" t="s">
        <v>955</v>
      </c>
      <c r="F470" t="s">
        <v>1592</v>
      </c>
      <c r="G470">
        <v>1</v>
      </c>
      <c r="H470">
        <v>0</v>
      </c>
      <c r="I470">
        <v>1.85</v>
      </c>
      <c r="J470">
        <v>0</v>
      </c>
      <c r="K470">
        <v>77155</v>
      </c>
      <c r="L470">
        <v>0</v>
      </c>
      <c r="M470">
        <v>0</v>
      </c>
      <c r="N470">
        <v>0</v>
      </c>
      <c r="O470">
        <v>11903</v>
      </c>
      <c r="P470">
        <v>1000000</v>
      </c>
      <c r="Q470">
        <v>200</v>
      </c>
      <c r="R470">
        <v>85000</v>
      </c>
      <c r="S470">
        <f t="shared" si="7"/>
        <v>1085200</v>
      </c>
      <c r="T470">
        <v>0</v>
      </c>
      <c r="U470">
        <v>300</v>
      </c>
      <c r="V470">
        <v>60</v>
      </c>
      <c r="W470">
        <v>1174618</v>
      </c>
    </row>
    <row r="471" spans="1:23" ht="12.75">
      <c r="A471" t="s">
        <v>956</v>
      </c>
      <c r="B471" t="s">
        <v>957</v>
      </c>
      <c r="C471" t="s">
        <v>3191</v>
      </c>
      <c r="D471" t="s">
        <v>958</v>
      </c>
      <c r="F471" t="s">
        <v>1592</v>
      </c>
      <c r="G471">
        <v>0</v>
      </c>
      <c r="H471">
        <v>0</v>
      </c>
      <c r="I471">
        <v>0.5</v>
      </c>
      <c r="J471">
        <v>0</v>
      </c>
      <c r="K471">
        <v>8112</v>
      </c>
      <c r="L471">
        <v>0</v>
      </c>
      <c r="M471">
        <v>1000</v>
      </c>
      <c r="N471">
        <v>0</v>
      </c>
      <c r="O471">
        <v>0</v>
      </c>
      <c r="P471">
        <v>10000</v>
      </c>
      <c r="Q471">
        <v>4000</v>
      </c>
      <c r="R471">
        <v>0</v>
      </c>
      <c r="S471">
        <f t="shared" si="7"/>
        <v>14000</v>
      </c>
      <c r="T471">
        <v>0</v>
      </c>
      <c r="U471">
        <v>3000</v>
      </c>
      <c r="V471">
        <v>8000</v>
      </c>
      <c r="W471">
        <v>34112</v>
      </c>
    </row>
    <row r="472" spans="1:23" ht="12.75">
      <c r="A472" t="s">
        <v>959</v>
      </c>
      <c r="B472" t="s">
        <v>960</v>
      </c>
      <c r="C472" t="s">
        <v>3191</v>
      </c>
      <c r="D472" t="s">
        <v>961</v>
      </c>
      <c r="F472" t="s">
        <v>1592</v>
      </c>
      <c r="G472">
        <v>0</v>
      </c>
      <c r="H472">
        <v>0</v>
      </c>
      <c r="I472">
        <v>2.533</v>
      </c>
      <c r="J472">
        <v>1.06</v>
      </c>
      <c r="K472">
        <v>102528</v>
      </c>
      <c r="L472">
        <v>0</v>
      </c>
      <c r="M472">
        <v>40204</v>
      </c>
      <c r="N472">
        <v>0</v>
      </c>
      <c r="O472">
        <v>16734</v>
      </c>
      <c r="P472">
        <v>0</v>
      </c>
      <c r="Q472">
        <v>0</v>
      </c>
      <c r="R472">
        <v>0</v>
      </c>
      <c r="S472">
        <f t="shared" si="7"/>
        <v>0</v>
      </c>
      <c r="T472">
        <v>0</v>
      </c>
      <c r="U472">
        <v>0</v>
      </c>
      <c r="V472">
        <v>0</v>
      </c>
      <c r="W472">
        <v>159466</v>
      </c>
    </row>
    <row r="473" spans="1:23" ht="12.75">
      <c r="A473" t="s">
        <v>962</v>
      </c>
      <c r="B473" t="s">
        <v>963</v>
      </c>
      <c r="C473" t="s">
        <v>3191</v>
      </c>
      <c r="D473" t="s">
        <v>964</v>
      </c>
      <c r="F473" t="s">
        <v>1592</v>
      </c>
      <c r="G473">
        <v>0</v>
      </c>
      <c r="H473">
        <v>0</v>
      </c>
      <c r="I473">
        <v>3.555</v>
      </c>
      <c r="J473">
        <v>1.5819999999999999</v>
      </c>
      <c r="K473">
        <v>133296</v>
      </c>
      <c r="L473">
        <v>0</v>
      </c>
      <c r="M473">
        <v>0</v>
      </c>
      <c r="N473">
        <v>0</v>
      </c>
      <c r="O473">
        <v>12186</v>
      </c>
      <c r="P473">
        <v>0</v>
      </c>
      <c r="Q473">
        <v>0</v>
      </c>
      <c r="R473">
        <v>0</v>
      </c>
      <c r="S473">
        <f t="shared" si="7"/>
        <v>0</v>
      </c>
      <c r="T473">
        <v>0</v>
      </c>
      <c r="U473">
        <v>0</v>
      </c>
      <c r="V473">
        <v>0</v>
      </c>
      <c r="W473">
        <v>145482</v>
      </c>
    </row>
    <row r="474" spans="1:23" ht="12.75">
      <c r="A474" t="s">
        <v>965</v>
      </c>
      <c r="B474" t="s">
        <v>966</v>
      </c>
      <c r="C474" t="s">
        <v>3191</v>
      </c>
      <c r="D474" t="s">
        <v>967</v>
      </c>
      <c r="F474" t="s">
        <v>1592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f t="shared" si="7"/>
        <v>0</v>
      </c>
      <c r="T474">
        <v>0</v>
      </c>
      <c r="U474">
        <v>7500</v>
      </c>
      <c r="V474">
        <v>500</v>
      </c>
      <c r="W474">
        <v>8000</v>
      </c>
    </row>
    <row r="475" spans="1:23" ht="12.75">
      <c r="A475" t="s">
        <v>968</v>
      </c>
      <c r="B475" t="s">
        <v>969</v>
      </c>
      <c r="C475" t="s">
        <v>3191</v>
      </c>
      <c r="D475" t="s">
        <v>970</v>
      </c>
      <c r="F475" t="s">
        <v>1592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500</v>
      </c>
      <c r="Q475">
        <v>0</v>
      </c>
      <c r="R475">
        <v>0</v>
      </c>
      <c r="S475">
        <f t="shared" si="7"/>
        <v>500</v>
      </c>
      <c r="T475">
        <v>0</v>
      </c>
      <c r="U475">
        <v>3000</v>
      </c>
      <c r="V475">
        <v>500</v>
      </c>
      <c r="W475">
        <v>4000</v>
      </c>
    </row>
    <row r="476" spans="1:23" ht="12.75">
      <c r="A476" t="s">
        <v>971</v>
      </c>
      <c r="B476" t="s">
        <v>972</v>
      </c>
      <c r="C476" t="s">
        <v>3191</v>
      </c>
      <c r="D476" t="s">
        <v>973</v>
      </c>
      <c r="F476" t="s">
        <v>1592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7000</v>
      </c>
      <c r="Q476">
        <v>300</v>
      </c>
      <c r="R476">
        <v>200</v>
      </c>
      <c r="S476">
        <f t="shared" si="7"/>
        <v>7500</v>
      </c>
      <c r="T476">
        <v>0</v>
      </c>
      <c r="U476">
        <v>0</v>
      </c>
      <c r="V476">
        <v>100</v>
      </c>
      <c r="W476">
        <v>7600</v>
      </c>
    </row>
    <row r="477" spans="1:23" ht="12.75">
      <c r="A477" t="s">
        <v>974</v>
      </c>
      <c r="B477" t="s">
        <v>975</v>
      </c>
      <c r="C477" t="s">
        <v>948</v>
      </c>
      <c r="D477" t="s">
        <v>976</v>
      </c>
      <c r="F477" t="s">
        <v>1592</v>
      </c>
      <c r="G477">
        <v>0</v>
      </c>
      <c r="H477">
        <v>0</v>
      </c>
      <c r="I477">
        <v>7.1</v>
      </c>
      <c r="J477">
        <v>0</v>
      </c>
      <c r="K477">
        <v>163276</v>
      </c>
      <c r="L477">
        <v>15000</v>
      </c>
      <c r="M477">
        <v>10000</v>
      </c>
      <c r="N477">
        <v>0</v>
      </c>
      <c r="O477">
        <v>63919</v>
      </c>
      <c r="P477">
        <v>235000</v>
      </c>
      <c r="Q477">
        <v>1000</v>
      </c>
      <c r="R477">
        <v>15000</v>
      </c>
      <c r="S477">
        <f t="shared" si="7"/>
        <v>251000</v>
      </c>
      <c r="T477">
        <v>0</v>
      </c>
      <c r="U477">
        <v>100</v>
      </c>
      <c r="V477">
        <v>7500</v>
      </c>
      <c r="W477">
        <v>510795</v>
      </c>
    </row>
    <row r="478" spans="1:23" ht="12.75">
      <c r="A478" t="s">
        <v>977</v>
      </c>
      <c r="B478" t="s">
        <v>978</v>
      </c>
      <c r="C478" t="s">
        <v>3191</v>
      </c>
      <c r="D478" t="s">
        <v>979</v>
      </c>
      <c r="F478" t="s">
        <v>1592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2436</v>
      </c>
      <c r="P478">
        <v>0</v>
      </c>
      <c r="Q478">
        <v>0</v>
      </c>
      <c r="R478">
        <v>0</v>
      </c>
      <c r="S478">
        <f t="shared" si="7"/>
        <v>0</v>
      </c>
      <c r="T478">
        <v>0</v>
      </c>
      <c r="U478">
        <v>0</v>
      </c>
      <c r="V478">
        <v>0</v>
      </c>
      <c r="W478">
        <v>2436</v>
      </c>
    </row>
    <row r="479" spans="1:23" ht="12.75">
      <c r="A479" t="s">
        <v>980</v>
      </c>
      <c r="B479" t="s">
        <v>981</v>
      </c>
      <c r="C479" t="s">
        <v>3191</v>
      </c>
      <c r="D479" t="s">
        <v>982</v>
      </c>
      <c r="F479" t="s">
        <v>1592</v>
      </c>
      <c r="G479">
        <v>0</v>
      </c>
      <c r="H479">
        <v>0</v>
      </c>
      <c r="I479">
        <v>0.806</v>
      </c>
      <c r="J479">
        <v>0</v>
      </c>
      <c r="K479">
        <v>21444</v>
      </c>
      <c r="L479">
        <v>0</v>
      </c>
      <c r="M479">
        <v>11583</v>
      </c>
      <c r="N479">
        <v>0</v>
      </c>
      <c r="O479">
        <v>2500</v>
      </c>
      <c r="P479">
        <v>0</v>
      </c>
      <c r="Q479">
        <v>0</v>
      </c>
      <c r="R479">
        <v>0</v>
      </c>
      <c r="S479">
        <f t="shared" si="7"/>
        <v>0</v>
      </c>
      <c r="T479">
        <v>0</v>
      </c>
      <c r="U479">
        <v>0</v>
      </c>
      <c r="V479">
        <v>0</v>
      </c>
      <c r="W479">
        <v>35527</v>
      </c>
    </row>
    <row r="480" spans="1:23" ht="12.75">
      <c r="A480" t="s">
        <v>983</v>
      </c>
      <c r="B480" t="s">
        <v>984</v>
      </c>
      <c r="C480" t="s">
        <v>948</v>
      </c>
      <c r="D480" t="s">
        <v>985</v>
      </c>
      <c r="F480" t="s">
        <v>1592</v>
      </c>
      <c r="G480">
        <v>0</v>
      </c>
      <c r="H480">
        <v>0</v>
      </c>
      <c r="I480">
        <v>3.75</v>
      </c>
      <c r="J480">
        <v>0</v>
      </c>
      <c r="K480">
        <v>101287</v>
      </c>
      <c r="L480">
        <v>0</v>
      </c>
      <c r="M480">
        <v>15000</v>
      </c>
      <c r="N480">
        <v>0</v>
      </c>
      <c r="O480">
        <v>25266</v>
      </c>
      <c r="P480">
        <v>8500</v>
      </c>
      <c r="Q480">
        <v>200</v>
      </c>
      <c r="R480">
        <v>7500</v>
      </c>
      <c r="S480">
        <f t="shared" si="7"/>
        <v>16200</v>
      </c>
      <c r="T480">
        <v>0</v>
      </c>
      <c r="U480">
        <v>0</v>
      </c>
      <c r="V480">
        <v>2500</v>
      </c>
      <c r="W480">
        <v>160253</v>
      </c>
    </row>
    <row r="481" spans="1:23" ht="12.75">
      <c r="A481" t="s">
        <v>986</v>
      </c>
      <c r="B481" t="s">
        <v>987</v>
      </c>
      <c r="C481" t="s">
        <v>3191</v>
      </c>
      <c r="D481" t="s">
        <v>988</v>
      </c>
      <c r="F481" t="s">
        <v>1592</v>
      </c>
      <c r="G481">
        <v>0</v>
      </c>
      <c r="H481">
        <v>0</v>
      </c>
      <c r="I481">
        <v>1</v>
      </c>
      <c r="J481">
        <v>0</v>
      </c>
      <c r="K481">
        <v>25164</v>
      </c>
      <c r="L481">
        <v>0</v>
      </c>
      <c r="M481">
        <v>0</v>
      </c>
      <c r="N481">
        <v>0</v>
      </c>
      <c r="O481">
        <v>0</v>
      </c>
      <c r="P481">
        <v>13220</v>
      </c>
      <c r="Q481">
        <v>10363</v>
      </c>
      <c r="R481">
        <v>5862</v>
      </c>
      <c r="S481">
        <f t="shared" si="7"/>
        <v>29445</v>
      </c>
      <c r="T481">
        <v>1272</v>
      </c>
      <c r="U481">
        <v>0</v>
      </c>
      <c r="V481">
        <v>11697</v>
      </c>
      <c r="W481">
        <v>67578</v>
      </c>
    </row>
    <row r="482" spans="1:23" ht="12.75">
      <c r="A482" t="s">
        <v>989</v>
      </c>
      <c r="B482" t="s">
        <v>990</v>
      </c>
      <c r="C482" t="s">
        <v>941</v>
      </c>
      <c r="D482" t="s">
        <v>991</v>
      </c>
      <c r="F482" t="s">
        <v>1592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160</v>
      </c>
      <c r="N482">
        <v>0</v>
      </c>
      <c r="O482">
        <v>0</v>
      </c>
      <c r="P482">
        <v>27748</v>
      </c>
      <c r="Q482">
        <v>0</v>
      </c>
      <c r="R482">
        <v>0</v>
      </c>
      <c r="S482">
        <f t="shared" si="7"/>
        <v>27748</v>
      </c>
      <c r="T482">
        <v>0</v>
      </c>
      <c r="U482">
        <v>0</v>
      </c>
      <c r="V482">
        <v>0</v>
      </c>
      <c r="W482">
        <v>27908</v>
      </c>
    </row>
    <row r="483" spans="1:23" ht="12.75">
      <c r="A483" t="s">
        <v>992</v>
      </c>
      <c r="B483" t="s">
        <v>993</v>
      </c>
      <c r="C483" t="s">
        <v>3191</v>
      </c>
      <c r="D483" t="s">
        <v>994</v>
      </c>
      <c r="F483" t="s">
        <v>1592</v>
      </c>
      <c r="G483">
        <v>0</v>
      </c>
      <c r="H483">
        <v>0.382</v>
      </c>
      <c r="I483">
        <v>0</v>
      </c>
      <c r="J483">
        <v>0</v>
      </c>
      <c r="K483">
        <v>20172</v>
      </c>
      <c r="L483">
        <v>0</v>
      </c>
      <c r="M483">
        <v>0</v>
      </c>
      <c r="N483">
        <v>0</v>
      </c>
      <c r="O483">
        <v>2480</v>
      </c>
      <c r="P483">
        <v>0</v>
      </c>
      <c r="Q483">
        <v>0</v>
      </c>
      <c r="R483">
        <v>0</v>
      </c>
      <c r="S483">
        <f t="shared" si="7"/>
        <v>0</v>
      </c>
      <c r="T483">
        <v>0</v>
      </c>
      <c r="U483">
        <v>0</v>
      </c>
      <c r="V483">
        <v>0</v>
      </c>
      <c r="W483">
        <v>22652</v>
      </c>
    </row>
    <row r="484" spans="1:23" ht="12.75">
      <c r="A484" t="s">
        <v>995</v>
      </c>
      <c r="B484" t="s">
        <v>996</v>
      </c>
      <c r="C484" t="s">
        <v>3191</v>
      </c>
      <c r="D484" t="s">
        <v>997</v>
      </c>
      <c r="F484" t="s">
        <v>1592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12422</v>
      </c>
      <c r="Q484">
        <v>677</v>
      </c>
      <c r="R484">
        <v>0</v>
      </c>
      <c r="S484">
        <f t="shared" si="7"/>
        <v>13099</v>
      </c>
      <c r="T484">
        <v>442</v>
      </c>
      <c r="U484">
        <v>0</v>
      </c>
      <c r="V484">
        <v>934</v>
      </c>
      <c r="W484">
        <v>14475</v>
      </c>
    </row>
    <row r="485" spans="1:23" ht="12.75">
      <c r="A485" t="s">
        <v>998</v>
      </c>
      <c r="B485" t="s">
        <v>999</v>
      </c>
      <c r="C485" t="s">
        <v>941</v>
      </c>
      <c r="D485" t="s">
        <v>1000</v>
      </c>
      <c r="F485" t="s">
        <v>1592</v>
      </c>
      <c r="G485">
        <v>0</v>
      </c>
      <c r="H485">
        <v>0</v>
      </c>
      <c r="I485">
        <v>2.473</v>
      </c>
      <c r="J485">
        <v>0</v>
      </c>
      <c r="K485">
        <v>89634</v>
      </c>
      <c r="L485">
        <v>0</v>
      </c>
      <c r="M485">
        <v>0</v>
      </c>
      <c r="N485">
        <v>0</v>
      </c>
      <c r="O485">
        <v>19540</v>
      </c>
      <c r="P485">
        <v>0</v>
      </c>
      <c r="Q485">
        <v>0</v>
      </c>
      <c r="R485">
        <v>0</v>
      </c>
      <c r="S485">
        <f t="shared" si="7"/>
        <v>0</v>
      </c>
      <c r="T485">
        <v>0</v>
      </c>
      <c r="U485">
        <v>0</v>
      </c>
      <c r="V485">
        <v>0</v>
      </c>
      <c r="W485">
        <v>109174</v>
      </c>
    </row>
    <row r="486" spans="1:23" ht="12.75">
      <c r="A486" t="s">
        <v>1001</v>
      </c>
      <c r="B486" t="s">
        <v>1002</v>
      </c>
      <c r="C486" t="s">
        <v>948</v>
      </c>
      <c r="D486" t="s">
        <v>1003</v>
      </c>
      <c r="F486" t="s">
        <v>1592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825000</v>
      </c>
      <c r="Q486">
        <v>0</v>
      </c>
      <c r="R486">
        <v>0</v>
      </c>
      <c r="S486">
        <f t="shared" si="7"/>
        <v>825000</v>
      </c>
      <c r="T486">
        <v>0</v>
      </c>
      <c r="U486">
        <v>0</v>
      </c>
      <c r="V486">
        <v>0</v>
      </c>
      <c r="W486">
        <v>825000</v>
      </c>
    </row>
    <row r="487" spans="1:23" ht="12.75">
      <c r="A487" t="s">
        <v>1004</v>
      </c>
      <c r="B487" t="s">
        <v>1005</v>
      </c>
      <c r="C487" t="s">
        <v>948</v>
      </c>
      <c r="D487" t="s">
        <v>1006</v>
      </c>
      <c r="F487" t="s">
        <v>1592</v>
      </c>
      <c r="G487">
        <v>0</v>
      </c>
      <c r="H487">
        <v>0</v>
      </c>
      <c r="I487">
        <v>40</v>
      </c>
      <c r="J487">
        <v>0</v>
      </c>
      <c r="K487">
        <v>1055604</v>
      </c>
      <c r="L487">
        <v>0</v>
      </c>
      <c r="M487">
        <v>5000</v>
      </c>
      <c r="N487">
        <v>0</v>
      </c>
      <c r="O487">
        <v>267577</v>
      </c>
      <c r="P487">
        <v>0</v>
      </c>
      <c r="Q487">
        <v>0</v>
      </c>
      <c r="R487">
        <v>0</v>
      </c>
      <c r="S487">
        <f t="shared" si="7"/>
        <v>0</v>
      </c>
      <c r="T487">
        <v>0</v>
      </c>
      <c r="U487">
        <v>0</v>
      </c>
      <c r="V487">
        <v>0</v>
      </c>
      <c r="W487">
        <v>1328181</v>
      </c>
    </row>
    <row r="488" spans="1:23" ht="12.75">
      <c r="A488" t="s">
        <v>1007</v>
      </c>
      <c r="B488" t="s">
        <v>1008</v>
      </c>
      <c r="C488" t="s">
        <v>948</v>
      </c>
      <c r="D488" t="s">
        <v>1009</v>
      </c>
      <c r="F488" t="s">
        <v>1592</v>
      </c>
      <c r="G488">
        <v>0</v>
      </c>
      <c r="H488">
        <v>0</v>
      </c>
      <c r="I488">
        <v>5</v>
      </c>
      <c r="J488">
        <v>0</v>
      </c>
      <c r="K488">
        <v>83412</v>
      </c>
      <c r="L488">
        <v>0</v>
      </c>
      <c r="M488">
        <v>3000</v>
      </c>
      <c r="N488">
        <v>0</v>
      </c>
      <c r="O488">
        <v>23826</v>
      </c>
      <c r="P488">
        <v>10000</v>
      </c>
      <c r="Q488">
        <v>0</v>
      </c>
      <c r="R488">
        <v>6000</v>
      </c>
      <c r="S488">
        <f t="shared" si="7"/>
        <v>16000</v>
      </c>
      <c r="T488">
        <v>0</v>
      </c>
      <c r="U488">
        <v>0</v>
      </c>
      <c r="V488">
        <v>0</v>
      </c>
      <c r="W488">
        <v>126238</v>
      </c>
    </row>
    <row r="489" spans="1:23" ht="12.75">
      <c r="A489" t="s">
        <v>1010</v>
      </c>
      <c r="B489" t="s">
        <v>1011</v>
      </c>
      <c r="C489" t="s">
        <v>3191</v>
      </c>
      <c r="D489" t="s">
        <v>1012</v>
      </c>
      <c r="F489" t="s">
        <v>1592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20525</v>
      </c>
      <c r="N489">
        <v>0</v>
      </c>
      <c r="O489">
        <v>0</v>
      </c>
      <c r="P489">
        <v>0</v>
      </c>
      <c r="Q489">
        <v>0</v>
      </c>
      <c r="R489">
        <v>0</v>
      </c>
      <c r="S489">
        <f t="shared" si="7"/>
        <v>0</v>
      </c>
      <c r="T489">
        <v>0</v>
      </c>
      <c r="U489">
        <v>0</v>
      </c>
      <c r="V489">
        <v>0</v>
      </c>
      <c r="W489">
        <v>20525</v>
      </c>
    </row>
    <row r="490" spans="1:23" ht="12.75">
      <c r="A490" t="s">
        <v>1013</v>
      </c>
      <c r="B490" t="s">
        <v>1014</v>
      </c>
      <c r="C490" t="s">
        <v>3191</v>
      </c>
      <c r="D490" t="s">
        <v>1015</v>
      </c>
      <c r="F490" t="s">
        <v>1592</v>
      </c>
      <c r="G490">
        <v>0</v>
      </c>
      <c r="H490">
        <v>0</v>
      </c>
      <c r="I490">
        <v>1</v>
      </c>
      <c r="J490">
        <v>0</v>
      </c>
      <c r="K490">
        <v>24600</v>
      </c>
      <c r="L490">
        <v>0</v>
      </c>
      <c r="M490">
        <v>0</v>
      </c>
      <c r="N490">
        <v>0</v>
      </c>
      <c r="O490">
        <v>0</v>
      </c>
      <c r="P490">
        <v>1598</v>
      </c>
      <c r="Q490">
        <v>0</v>
      </c>
      <c r="R490">
        <v>17476</v>
      </c>
      <c r="S490">
        <f t="shared" si="7"/>
        <v>19074</v>
      </c>
      <c r="T490">
        <v>0</v>
      </c>
      <c r="U490">
        <v>320</v>
      </c>
      <c r="V490">
        <v>3036</v>
      </c>
      <c r="W490">
        <v>47030</v>
      </c>
    </row>
    <row r="491" spans="1:23" ht="12.75">
      <c r="A491" t="s">
        <v>1016</v>
      </c>
      <c r="B491" t="s">
        <v>1017</v>
      </c>
      <c r="C491" t="s">
        <v>941</v>
      </c>
      <c r="D491" t="s">
        <v>1018</v>
      </c>
      <c r="F491" t="s">
        <v>1592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14182</v>
      </c>
      <c r="Q491">
        <v>18</v>
      </c>
      <c r="R491">
        <v>0</v>
      </c>
      <c r="S491">
        <f t="shared" si="7"/>
        <v>14200</v>
      </c>
      <c r="T491">
        <v>0</v>
      </c>
      <c r="U491">
        <v>0</v>
      </c>
      <c r="V491">
        <v>0</v>
      </c>
      <c r="W491">
        <v>14200</v>
      </c>
    </row>
    <row r="492" spans="1:23" ht="12.75">
      <c r="A492" t="s">
        <v>1019</v>
      </c>
      <c r="B492" t="s">
        <v>1020</v>
      </c>
      <c r="C492" t="s">
        <v>948</v>
      </c>
      <c r="D492" t="s">
        <v>1021</v>
      </c>
      <c r="F492" t="s">
        <v>1592</v>
      </c>
      <c r="G492">
        <v>0</v>
      </c>
      <c r="H492">
        <v>0</v>
      </c>
      <c r="I492">
        <v>3</v>
      </c>
      <c r="J492">
        <v>0</v>
      </c>
      <c r="K492">
        <v>81840</v>
      </c>
      <c r="L492">
        <v>4000</v>
      </c>
      <c r="M492">
        <v>4500</v>
      </c>
      <c r="N492">
        <v>0</v>
      </c>
      <c r="O492">
        <v>25167</v>
      </c>
      <c r="P492">
        <v>4500</v>
      </c>
      <c r="Q492">
        <v>250</v>
      </c>
      <c r="R492">
        <v>5000</v>
      </c>
      <c r="S492">
        <f t="shared" si="7"/>
        <v>9750</v>
      </c>
      <c r="T492">
        <v>0</v>
      </c>
      <c r="U492">
        <v>25</v>
      </c>
      <c r="V492">
        <v>200</v>
      </c>
      <c r="W492">
        <v>125482</v>
      </c>
    </row>
    <row r="493" spans="1:23" ht="12.75">
      <c r="A493" t="s">
        <v>1022</v>
      </c>
      <c r="B493" t="s">
        <v>1025</v>
      </c>
      <c r="C493" t="s">
        <v>941</v>
      </c>
      <c r="D493" t="s">
        <v>1026</v>
      </c>
      <c r="F493" t="s">
        <v>1592</v>
      </c>
      <c r="G493">
        <v>0</v>
      </c>
      <c r="H493">
        <v>0</v>
      </c>
      <c r="I493">
        <v>0</v>
      </c>
      <c r="J493">
        <v>0.624</v>
      </c>
      <c r="K493">
        <v>35736</v>
      </c>
      <c r="L493">
        <v>0</v>
      </c>
      <c r="M493">
        <v>0</v>
      </c>
      <c r="N493">
        <v>0</v>
      </c>
      <c r="O493">
        <v>6977</v>
      </c>
      <c r="P493">
        <v>0</v>
      </c>
      <c r="Q493">
        <v>0</v>
      </c>
      <c r="R493">
        <v>0</v>
      </c>
      <c r="S493">
        <f t="shared" si="7"/>
        <v>0</v>
      </c>
      <c r="T493">
        <v>0</v>
      </c>
      <c r="U493">
        <v>0</v>
      </c>
      <c r="V493">
        <v>0</v>
      </c>
      <c r="W493">
        <v>42713</v>
      </c>
    </row>
    <row r="494" spans="1:23" ht="12.75">
      <c r="A494" t="s">
        <v>1027</v>
      </c>
      <c r="B494" t="s">
        <v>1028</v>
      </c>
      <c r="C494" t="s">
        <v>3191</v>
      </c>
      <c r="D494" t="s">
        <v>1029</v>
      </c>
      <c r="F494" t="s">
        <v>1592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4607</v>
      </c>
      <c r="Q494">
        <v>0</v>
      </c>
      <c r="R494">
        <v>0</v>
      </c>
      <c r="S494">
        <f t="shared" si="7"/>
        <v>4607</v>
      </c>
      <c r="T494">
        <v>249</v>
      </c>
      <c r="U494">
        <v>0</v>
      </c>
      <c r="V494">
        <v>100</v>
      </c>
      <c r="W494">
        <v>4956</v>
      </c>
    </row>
    <row r="495" spans="1:23" ht="12.75">
      <c r="A495" t="s">
        <v>1030</v>
      </c>
      <c r="B495" t="s">
        <v>1031</v>
      </c>
      <c r="C495" t="s">
        <v>3191</v>
      </c>
      <c r="D495" t="s">
        <v>1032</v>
      </c>
      <c r="F495" t="s">
        <v>1592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12500</v>
      </c>
      <c r="Q495">
        <v>0</v>
      </c>
      <c r="R495">
        <v>125000</v>
      </c>
      <c r="S495">
        <f t="shared" si="7"/>
        <v>137500</v>
      </c>
      <c r="T495">
        <v>0</v>
      </c>
      <c r="U495">
        <v>0</v>
      </c>
      <c r="V495">
        <v>0</v>
      </c>
      <c r="W495">
        <v>137500</v>
      </c>
    </row>
    <row r="496" spans="1:23" ht="12.75">
      <c r="A496" t="s">
        <v>1033</v>
      </c>
      <c r="B496" t="s">
        <v>1034</v>
      </c>
      <c r="C496" t="s">
        <v>3191</v>
      </c>
      <c r="D496" t="s">
        <v>1035</v>
      </c>
      <c r="F496" t="s">
        <v>1592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4000</v>
      </c>
      <c r="S496">
        <f t="shared" si="7"/>
        <v>4000</v>
      </c>
      <c r="T496">
        <v>0</v>
      </c>
      <c r="U496">
        <v>0</v>
      </c>
      <c r="V496">
        <v>0</v>
      </c>
      <c r="W496">
        <v>4000</v>
      </c>
    </row>
    <row r="497" spans="1:23" ht="12.75">
      <c r="A497" t="s">
        <v>1036</v>
      </c>
      <c r="B497" t="s">
        <v>1037</v>
      </c>
      <c r="C497" t="s">
        <v>3191</v>
      </c>
      <c r="D497" t="s">
        <v>1038</v>
      </c>
      <c r="F497" t="s">
        <v>1592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100</v>
      </c>
      <c r="Q497">
        <v>0</v>
      </c>
      <c r="R497">
        <v>0</v>
      </c>
      <c r="S497">
        <f t="shared" si="7"/>
        <v>100</v>
      </c>
      <c r="T497">
        <v>0</v>
      </c>
      <c r="U497">
        <v>0</v>
      </c>
      <c r="V497">
        <v>0</v>
      </c>
      <c r="W497">
        <v>100</v>
      </c>
    </row>
    <row r="498" spans="1:23" ht="12.75">
      <c r="A498" t="s">
        <v>1039</v>
      </c>
      <c r="B498" t="s">
        <v>1040</v>
      </c>
      <c r="C498" t="s">
        <v>3191</v>
      </c>
      <c r="D498" t="s">
        <v>1041</v>
      </c>
      <c r="F498" t="s">
        <v>1592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2921</v>
      </c>
      <c r="Q498">
        <v>118</v>
      </c>
      <c r="R498">
        <v>0</v>
      </c>
      <c r="S498">
        <f t="shared" si="7"/>
        <v>3039</v>
      </c>
      <c r="T498">
        <v>0</v>
      </c>
      <c r="U498">
        <v>0</v>
      </c>
      <c r="V498">
        <v>4093</v>
      </c>
      <c r="W498">
        <v>7132</v>
      </c>
    </row>
    <row r="499" spans="1:23" ht="12.75">
      <c r="A499" t="s">
        <v>1042</v>
      </c>
      <c r="B499" t="s">
        <v>1043</v>
      </c>
      <c r="C499" t="s">
        <v>3191</v>
      </c>
      <c r="D499" t="s">
        <v>1044</v>
      </c>
      <c r="F499" t="s">
        <v>1592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122</v>
      </c>
      <c r="Q499">
        <v>0</v>
      </c>
      <c r="R499">
        <v>0</v>
      </c>
      <c r="S499">
        <f t="shared" si="7"/>
        <v>122</v>
      </c>
      <c r="T499">
        <v>0</v>
      </c>
      <c r="U499">
        <v>0</v>
      </c>
      <c r="V499">
        <v>4711</v>
      </c>
      <c r="W499">
        <v>4833</v>
      </c>
    </row>
    <row r="500" spans="1:23" ht="12.75">
      <c r="A500" t="s">
        <v>1045</v>
      </c>
      <c r="B500" t="s">
        <v>1046</v>
      </c>
      <c r="C500" t="s">
        <v>948</v>
      </c>
      <c r="D500" t="s">
        <v>1047</v>
      </c>
      <c r="F500" t="s">
        <v>1592</v>
      </c>
      <c r="G500">
        <v>0</v>
      </c>
      <c r="H500">
        <v>0</v>
      </c>
      <c r="I500">
        <v>7.5</v>
      </c>
      <c r="J500">
        <v>0</v>
      </c>
      <c r="K500">
        <v>169926</v>
      </c>
      <c r="L500">
        <v>200</v>
      </c>
      <c r="M500">
        <v>33110</v>
      </c>
      <c r="N500">
        <v>0</v>
      </c>
      <c r="O500">
        <v>31386</v>
      </c>
      <c r="P500">
        <v>71514</v>
      </c>
      <c r="Q500">
        <v>0</v>
      </c>
      <c r="R500">
        <v>8700</v>
      </c>
      <c r="S500">
        <f t="shared" si="7"/>
        <v>80214</v>
      </c>
      <c r="T500">
        <v>0</v>
      </c>
      <c r="U500">
        <v>303533</v>
      </c>
      <c r="V500">
        <v>2175</v>
      </c>
      <c r="W500">
        <v>620544</v>
      </c>
    </row>
    <row r="501" spans="1:23" ht="12.75">
      <c r="A501" t="s">
        <v>1048</v>
      </c>
      <c r="B501" t="s">
        <v>1049</v>
      </c>
      <c r="C501" t="s">
        <v>3191</v>
      </c>
      <c r="D501" t="s">
        <v>1050</v>
      </c>
      <c r="F501" t="s">
        <v>1592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8400</v>
      </c>
      <c r="P501">
        <v>13000</v>
      </c>
      <c r="Q501">
        <v>9500</v>
      </c>
      <c r="R501">
        <v>2500</v>
      </c>
      <c r="S501">
        <f t="shared" si="7"/>
        <v>25000</v>
      </c>
      <c r="T501">
        <v>2000</v>
      </c>
      <c r="U501">
        <v>2000</v>
      </c>
      <c r="V501">
        <v>10000</v>
      </c>
      <c r="W501">
        <v>47400</v>
      </c>
    </row>
    <row r="502" spans="1:23" ht="12.75">
      <c r="A502" t="s">
        <v>1051</v>
      </c>
      <c r="B502" t="s">
        <v>1052</v>
      </c>
      <c r="C502" t="s">
        <v>948</v>
      </c>
      <c r="D502" t="s">
        <v>1053</v>
      </c>
      <c r="F502" t="s">
        <v>1592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30249</v>
      </c>
      <c r="Q502">
        <v>0</v>
      </c>
      <c r="R502">
        <v>0</v>
      </c>
      <c r="S502">
        <f t="shared" si="7"/>
        <v>30249</v>
      </c>
      <c r="T502">
        <v>0</v>
      </c>
      <c r="U502">
        <v>0</v>
      </c>
      <c r="V502">
        <v>0</v>
      </c>
      <c r="W502">
        <v>30249</v>
      </c>
    </row>
    <row r="503" spans="1:23" ht="12.75">
      <c r="A503" t="s">
        <v>1054</v>
      </c>
      <c r="B503" t="s">
        <v>1055</v>
      </c>
      <c r="C503" t="s">
        <v>948</v>
      </c>
      <c r="D503" t="s">
        <v>1056</v>
      </c>
      <c r="F503" t="s">
        <v>1592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12309</v>
      </c>
      <c r="Q503">
        <v>0</v>
      </c>
      <c r="R503">
        <v>0</v>
      </c>
      <c r="S503">
        <f t="shared" si="7"/>
        <v>12309</v>
      </c>
      <c r="T503">
        <v>0</v>
      </c>
      <c r="U503">
        <v>0</v>
      </c>
      <c r="V503">
        <v>0</v>
      </c>
      <c r="W503">
        <v>12309</v>
      </c>
    </row>
    <row r="504" spans="1:23" ht="12.75">
      <c r="A504" t="s">
        <v>1057</v>
      </c>
      <c r="B504" t="s">
        <v>1058</v>
      </c>
      <c r="C504" t="s">
        <v>3191</v>
      </c>
      <c r="D504" t="s">
        <v>1059</v>
      </c>
      <c r="F504" t="s">
        <v>1592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1700</v>
      </c>
      <c r="N504">
        <v>0</v>
      </c>
      <c r="O504">
        <v>0</v>
      </c>
      <c r="P504">
        <v>3500</v>
      </c>
      <c r="Q504">
        <v>2400</v>
      </c>
      <c r="R504">
        <v>3500</v>
      </c>
      <c r="S504">
        <f t="shared" si="7"/>
        <v>9400</v>
      </c>
      <c r="T504">
        <v>0</v>
      </c>
      <c r="U504">
        <v>3000</v>
      </c>
      <c r="V504">
        <v>200</v>
      </c>
      <c r="W504">
        <v>14300</v>
      </c>
    </row>
    <row r="505" spans="1:23" ht="12.75">
      <c r="A505" t="s">
        <v>1060</v>
      </c>
      <c r="B505" t="s">
        <v>1061</v>
      </c>
      <c r="C505" t="s">
        <v>3191</v>
      </c>
      <c r="D505" t="s">
        <v>1062</v>
      </c>
      <c r="F505" t="s">
        <v>1592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500</v>
      </c>
      <c r="N505">
        <v>0</v>
      </c>
      <c r="O505">
        <v>0</v>
      </c>
      <c r="P505">
        <v>10000</v>
      </c>
      <c r="Q505">
        <v>8000</v>
      </c>
      <c r="R505">
        <v>0</v>
      </c>
      <c r="S505">
        <f t="shared" si="7"/>
        <v>18000</v>
      </c>
      <c r="T505">
        <v>0</v>
      </c>
      <c r="U505">
        <v>0</v>
      </c>
      <c r="V505">
        <v>3000</v>
      </c>
      <c r="W505">
        <v>21500</v>
      </c>
    </row>
    <row r="506" spans="1:23" ht="12.75">
      <c r="A506" t="s">
        <v>1063</v>
      </c>
      <c r="B506" t="s">
        <v>1064</v>
      </c>
      <c r="C506" t="s">
        <v>3191</v>
      </c>
      <c r="D506" t="s">
        <v>1065</v>
      </c>
      <c r="F506" t="s">
        <v>1592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2868</v>
      </c>
      <c r="Q506">
        <v>180</v>
      </c>
      <c r="R506">
        <v>0</v>
      </c>
      <c r="S506">
        <f t="shared" si="7"/>
        <v>3048</v>
      </c>
      <c r="T506">
        <v>0</v>
      </c>
      <c r="U506">
        <v>0</v>
      </c>
      <c r="V506">
        <v>0</v>
      </c>
      <c r="W506">
        <v>3048</v>
      </c>
    </row>
    <row r="507" spans="1:23" ht="12.75">
      <c r="A507" t="s">
        <v>1066</v>
      </c>
      <c r="B507" t="s">
        <v>1067</v>
      </c>
      <c r="C507" t="s">
        <v>3191</v>
      </c>
      <c r="D507" t="s">
        <v>1068</v>
      </c>
      <c r="F507" t="s">
        <v>1592</v>
      </c>
      <c r="G507">
        <v>0</v>
      </c>
      <c r="H507">
        <v>0</v>
      </c>
      <c r="I507">
        <v>1</v>
      </c>
      <c r="J507">
        <v>0</v>
      </c>
      <c r="K507">
        <v>23664</v>
      </c>
      <c r="L507">
        <v>0</v>
      </c>
      <c r="M507">
        <v>0</v>
      </c>
      <c r="N507">
        <v>0</v>
      </c>
      <c r="O507">
        <v>5844</v>
      </c>
      <c r="P507">
        <v>24260</v>
      </c>
      <c r="Q507">
        <v>839</v>
      </c>
      <c r="R507">
        <v>5775</v>
      </c>
      <c r="S507">
        <f t="shared" si="7"/>
        <v>30874</v>
      </c>
      <c r="T507">
        <v>0</v>
      </c>
      <c r="U507">
        <v>0</v>
      </c>
      <c r="V507">
        <v>84</v>
      </c>
      <c r="W507">
        <v>60466</v>
      </c>
    </row>
    <row r="508" spans="1:23" ht="12.75">
      <c r="A508" t="s">
        <v>1069</v>
      </c>
      <c r="B508" t="s">
        <v>1070</v>
      </c>
      <c r="C508" t="s">
        <v>3191</v>
      </c>
      <c r="D508" t="s">
        <v>1071</v>
      </c>
      <c r="F508" t="s">
        <v>1592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757</v>
      </c>
      <c r="Q508">
        <v>543</v>
      </c>
      <c r="R508">
        <v>3409</v>
      </c>
      <c r="S508">
        <f t="shared" si="7"/>
        <v>4709</v>
      </c>
      <c r="T508">
        <v>0</v>
      </c>
      <c r="U508">
        <v>0</v>
      </c>
      <c r="V508">
        <v>2077</v>
      </c>
      <c r="W508">
        <v>6786</v>
      </c>
    </row>
    <row r="509" spans="1:23" ht="12.75">
      <c r="A509" t="s">
        <v>1072</v>
      </c>
      <c r="B509" t="s">
        <v>1073</v>
      </c>
      <c r="C509" t="s">
        <v>3191</v>
      </c>
      <c r="D509" t="s">
        <v>1074</v>
      </c>
      <c r="F509" t="s">
        <v>1592</v>
      </c>
      <c r="G509">
        <v>0</v>
      </c>
      <c r="H509">
        <v>0</v>
      </c>
      <c r="I509">
        <v>1</v>
      </c>
      <c r="J509">
        <v>0</v>
      </c>
      <c r="K509">
        <v>19392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f t="shared" si="7"/>
        <v>0</v>
      </c>
      <c r="T509">
        <v>0</v>
      </c>
      <c r="U509">
        <v>0</v>
      </c>
      <c r="V509">
        <v>0</v>
      </c>
      <c r="W509">
        <v>19392</v>
      </c>
    </row>
    <row r="510" spans="1:23" ht="12.75">
      <c r="A510" t="s">
        <v>1075</v>
      </c>
      <c r="B510" t="s">
        <v>1076</v>
      </c>
      <c r="C510" t="s">
        <v>3191</v>
      </c>
      <c r="D510" t="s">
        <v>1077</v>
      </c>
      <c r="F510" t="s">
        <v>1592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1500</v>
      </c>
      <c r="Q510">
        <v>0</v>
      </c>
      <c r="R510">
        <v>2000</v>
      </c>
      <c r="S510">
        <f t="shared" si="7"/>
        <v>3500</v>
      </c>
      <c r="T510">
        <v>0</v>
      </c>
      <c r="U510">
        <v>0</v>
      </c>
      <c r="V510">
        <v>0</v>
      </c>
      <c r="W510">
        <v>3500</v>
      </c>
    </row>
    <row r="511" spans="1:23" ht="12.75">
      <c r="A511" t="s">
        <v>1078</v>
      </c>
      <c r="B511" t="s">
        <v>1084</v>
      </c>
      <c r="C511" t="s">
        <v>3191</v>
      </c>
      <c r="D511" t="s">
        <v>1085</v>
      </c>
      <c r="F511" t="s">
        <v>1592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2198</v>
      </c>
      <c r="P511">
        <v>0</v>
      </c>
      <c r="Q511">
        <v>0</v>
      </c>
      <c r="R511">
        <v>0</v>
      </c>
      <c r="S511">
        <f t="shared" si="7"/>
        <v>0</v>
      </c>
      <c r="T511">
        <v>0</v>
      </c>
      <c r="U511">
        <v>0</v>
      </c>
      <c r="V511">
        <v>0</v>
      </c>
      <c r="W511">
        <v>2198</v>
      </c>
    </row>
    <row r="512" spans="1:23" ht="12.75">
      <c r="A512" t="s">
        <v>1086</v>
      </c>
      <c r="B512" t="s">
        <v>1087</v>
      </c>
      <c r="C512" t="s">
        <v>941</v>
      </c>
      <c r="D512" t="s">
        <v>1088</v>
      </c>
      <c r="F512" t="s">
        <v>1592</v>
      </c>
      <c r="G512">
        <v>0</v>
      </c>
      <c r="H512">
        <v>0</v>
      </c>
      <c r="I512">
        <v>1</v>
      </c>
      <c r="J512">
        <v>0</v>
      </c>
      <c r="K512">
        <v>47700</v>
      </c>
      <c r="L512">
        <v>0</v>
      </c>
      <c r="M512">
        <v>8050</v>
      </c>
      <c r="N512">
        <v>0</v>
      </c>
      <c r="O512">
        <v>8755</v>
      </c>
      <c r="P512">
        <v>0</v>
      </c>
      <c r="Q512">
        <v>0</v>
      </c>
      <c r="R512">
        <v>0</v>
      </c>
      <c r="S512">
        <f t="shared" si="7"/>
        <v>0</v>
      </c>
      <c r="T512">
        <v>0</v>
      </c>
      <c r="U512">
        <v>0</v>
      </c>
      <c r="V512">
        <v>0</v>
      </c>
      <c r="W512">
        <v>64505</v>
      </c>
    </row>
    <row r="513" spans="1:23" ht="12.75">
      <c r="A513" t="s">
        <v>1089</v>
      </c>
      <c r="B513" t="s">
        <v>1090</v>
      </c>
      <c r="C513" t="s">
        <v>3191</v>
      </c>
      <c r="D513" t="s">
        <v>1091</v>
      </c>
      <c r="F513" t="s">
        <v>1592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1246</v>
      </c>
      <c r="Q513">
        <v>1140</v>
      </c>
      <c r="R513">
        <v>6763</v>
      </c>
      <c r="S513">
        <f t="shared" si="7"/>
        <v>9149</v>
      </c>
      <c r="T513">
        <v>0</v>
      </c>
      <c r="U513">
        <v>0</v>
      </c>
      <c r="V513">
        <v>0</v>
      </c>
      <c r="W513">
        <v>9149</v>
      </c>
    </row>
    <row r="514" spans="1:23" ht="12.75">
      <c r="A514" t="s">
        <v>1092</v>
      </c>
      <c r="B514" t="s">
        <v>1093</v>
      </c>
      <c r="C514" t="s">
        <v>948</v>
      </c>
      <c r="D514" t="s">
        <v>1094</v>
      </c>
      <c r="F514" t="s">
        <v>1592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2500</v>
      </c>
      <c r="N514">
        <v>0</v>
      </c>
      <c r="O514">
        <v>6629</v>
      </c>
      <c r="P514">
        <v>13325</v>
      </c>
      <c r="Q514">
        <v>0</v>
      </c>
      <c r="R514">
        <v>0</v>
      </c>
      <c r="S514">
        <f t="shared" si="7"/>
        <v>13325</v>
      </c>
      <c r="T514">
        <v>0</v>
      </c>
      <c r="U514">
        <v>7163</v>
      </c>
      <c r="V514">
        <v>0</v>
      </c>
      <c r="W514">
        <v>29617</v>
      </c>
    </row>
    <row r="515" spans="1:23" ht="12.75">
      <c r="A515" t="s">
        <v>1096</v>
      </c>
      <c r="B515" t="s">
        <v>1097</v>
      </c>
      <c r="C515" t="s">
        <v>941</v>
      </c>
      <c r="D515" t="s">
        <v>1098</v>
      </c>
      <c r="F515" t="s">
        <v>1592</v>
      </c>
      <c r="G515">
        <v>0</v>
      </c>
      <c r="H515">
        <v>0</v>
      </c>
      <c r="I515">
        <v>1</v>
      </c>
      <c r="J515">
        <v>0</v>
      </c>
      <c r="K515">
        <v>26124</v>
      </c>
      <c r="L515">
        <v>0</v>
      </c>
      <c r="M515">
        <v>0</v>
      </c>
      <c r="N515">
        <v>0</v>
      </c>
      <c r="O515">
        <v>18080</v>
      </c>
      <c r="P515">
        <v>2500</v>
      </c>
      <c r="Q515">
        <v>1000</v>
      </c>
      <c r="R515">
        <v>2000</v>
      </c>
      <c r="S515">
        <f t="shared" si="7"/>
        <v>5500</v>
      </c>
      <c r="T515">
        <v>0</v>
      </c>
      <c r="U515">
        <v>0</v>
      </c>
      <c r="V515">
        <v>100</v>
      </c>
      <c r="W515">
        <v>49804</v>
      </c>
    </row>
    <row r="516" spans="1:23" ht="12.75">
      <c r="A516" t="s">
        <v>1099</v>
      </c>
      <c r="B516" t="s">
        <v>1100</v>
      </c>
      <c r="C516" t="s">
        <v>3191</v>
      </c>
      <c r="D516" t="s">
        <v>1101</v>
      </c>
      <c r="F516" t="s">
        <v>1592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25200</v>
      </c>
      <c r="N516">
        <v>0</v>
      </c>
      <c r="O516">
        <v>1836</v>
      </c>
      <c r="P516">
        <v>0</v>
      </c>
      <c r="Q516">
        <v>0</v>
      </c>
      <c r="R516">
        <v>0</v>
      </c>
      <c r="S516">
        <f t="shared" si="7"/>
        <v>0</v>
      </c>
      <c r="T516">
        <v>0</v>
      </c>
      <c r="U516">
        <v>0</v>
      </c>
      <c r="V516">
        <v>0</v>
      </c>
      <c r="W516">
        <v>27036</v>
      </c>
    </row>
    <row r="517" spans="1:23" ht="12.75">
      <c r="A517" t="s">
        <v>1102</v>
      </c>
      <c r="B517" t="s">
        <v>1103</v>
      </c>
      <c r="C517" t="s">
        <v>3191</v>
      </c>
      <c r="D517" t="s">
        <v>1104</v>
      </c>
      <c r="F517" t="s">
        <v>1592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1390</v>
      </c>
      <c r="Q517">
        <v>0</v>
      </c>
      <c r="R517">
        <v>0</v>
      </c>
      <c r="S517">
        <f t="shared" si="7"/>
        <v>1390</v>
      </c>
      <c r="T517">
        <v>0</v>
      </c>
      <c r="U517">
        <v>0</v>
      </c>
      <c r="V517">
        <v>218</v>
      </c>
      <c r="W517">
        <v>1608</v>
      </c>
    </row>
    <row r="518" spans="1:23" ht="12.75">
      <c r="A518" t="s">
        <v>1105</v>
      </c>
      <c r="B518" t="s">
        <v>1106</v>
      </c>
      <c r="C518" t="s">
        <v>948</v>
      </c>
      <c r="D518" t="s">
        <v>1107</v>
      </c>
      <c r="F518" t="s">
        <v>1592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5000</v>
      </c>
      <c r="Q518">
        <v>0</v>
      </c>
      <c r="R518">
        <v>0</v>
      </c>
      <c r="S518">
        <f t="shared" si="7"/>
        <v>5000</v>
      </c>
      <c r="T518">
        <v>0</v>
      </c>
      <c r="U518">
        <v>0</v>
      </c>
      <c r="V518">
        <v>0</v>
      </c>
      <c r="W518">
        <v>5000</v>
      </c>
    </row>
    <row r="519" spans="1:23" ht="12.75">
      <c r="A519" t="s">
        <v>1108</v>
      </c>
      <c r="B519" t="s">
        <v>1109</v>
      </c>
      <c r="C519" t="s">
        <v>948</v>
      </c>
      <c r="D519" t="s">
        <v>1110</v>
      </c>
      <c r="F519" t="s">
        <v>1592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50000</v>
      </c>
      <c r="Q519">
        <v>0</v>
      </c>
      <c r="R519">
        <v>0</v>
      </c>
      <c r="S519">
        <f t="shared" si="7"/>
        <v>50000</v>
      </c>
      <c r="T519">
        <v>0</v>
      </c>
      <c r="U519">
        <v>0</v>
      </c>
      <c r="V519">
        <v>0</v>
      </c>
      <c r="W519">
        <v>50000</v>
      </c>
    </row>
    <row r="520" spans="1:23" ht="12.75">
      <c r="A520" t="s">
        <v>1111</v>
      </c>
      <c r="B520" t="s">
        <v>1112</v>
      </c>
      <c r="C520" t="s">
        <v>941</v>
      </c>
      <c r="D520" t="s">
        <v>1113</v>
      </c>
      <c r="F520" t="s">
        <v>1592</v>
      </c>
      <c r="G520">
        <v>0</v>
      </c>
      <c r="H520">
        <v>0</v>
      </c>
      <c r="I520">
        <v>2.02</v>
      </c>
      <c r="J520">
        <v>1</v>
      </c>
      <c r="K520">
        <v>82620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f t="shared" si="7"/>
        <v>0</v>
      </c>
      <c r="T520">
        <v>0</v>
      </c>
      <c r="U520">
        <v>0</v>
      </c>
      <c r="V520">
        <v>0</v>
      </c>
      <c r="W520">
        <v>82620</v>
      </c>
    </row>
    <row r="521" spans="1:23" ht="12.75">
      <c r="A521" t="s">
        <v>3189</v>
      </c>
      <c r="B521" t="s">
        <v>3190</v>
      </c>
      <c r="C521" t="s">
        <v>3191</v>
      </c>
      <c r="D521" t="s">
        <v>3192</v>
      </c>
      <c r="F521" t="s">
        <v>1592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5000</v>
      </c>
      <c r="Q521">
        <v>1000</v>
      </c>
      <c r="R521">
        <v>0</v>
      </c>
      <c r="S521">
        <f t="shared" si="7"/>
        <v>6000</v>
      </c>
      <c r="T521">
        <v>0</v>
      </c>
      <c r="U521">
        <v>0</v>
      </c>
      <c r="V521">
        <v>1000</v>
      </c>
      <c r="W521">
        <v>7000</v>
      </c>
    </row>
    <row r="522" spans="1:23" ht="12.75">
      <c r="A522" t="s">
        <v>3193</v>
      </c>
      <c r="B522" t="s">
        <v>3194</v>
      </c>
      <c r="C522" t="s">
        <v>3191</v>
      </c>
      <c r="D522" t="s">
        <v>3195</v>
      </c>
      <c r="F522" t="s">
        <v>1592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9001</v>
      </c>
      <c r="P522">
        <v>0</v>
      </c>
      <c r="Q522">
        <v>0</v>
      </c>
      <c r="R522">
        <v>0</v>
      </c>
      <c r="S522">
        <f t="shared" si="7"/>
        <v>0</v>
      </c>
      <c r="T522">
        <v>0</v>
      </c>
      <c r="U522">
        <v>0</v>
      </c>
      <c r="V522">
        <v>0</v>
      </c>
      <c r="W522">
        <v>9001</v>
      </c>
    </row>
    <row r="523" spans="1:23" ht="12.75">
      <c r="A523" t="s">
        <v>3196</v>
      </c>
      <c r="B523" t="s">
        <v>2931</v>
      </c>
      <c r="C523" t="s">
        <v>3197</v>
      </c>
      <c r="D523" t="s">
        <v>3198</v>
      </c>
      <c r="F523" t="s">
        <v>1592</v>
      </c>
      <c r="G523">
        <v>0</v>
      </c>
      <c r="H523">
        <v>0</v>
      </c>
      <c r="I523">
        <v>9</v>
      </c>
      <c r="J523">
        <v>0</v>
      </c>
      <c r="K523">
        <v>342720</v>
      </c>
      <c r="L523">
        <v>0</v>
      </c>
      <c r="M523">
        <v>0</v>
      </c>
      <c r="N523">
        <v>0</v>
      </c>
      <c r="O523">
        <v>89107</v>
      </c>
      <c r="P523">
        <v>0</v>
      </c>
      <c r="Q523">
        <v>0</v>
      </c>
      <c r="R523">
        <v>0</v>
      </c>
      <c r="S523">
        <f aca="true" t="shared" si="8" ref="S523:S586">SUM(P523:R523)</f>
        <v>0</v>
      </c>
      <c r="T523">
        <v>0</v>
      </c>
      <c r="U523">
        <v>0</v>
      </c>
      <c r="V523">
        <v>0</v>
      </c>
      <c r="W523">
        <v>431827</v>
      </c>
    </row>
    <row r="524" spans="1:23" ht="12.75">
      <c r="A524" t="s">
        <v>3199</v>
      </c>
      <c r="B524" t="s">
        <v>3200</v>
      </c>
      <c r="C524" t="s">
        <v>3191</v>
      </c>
      <c r="D524" t="s">
        <v>3201</v>
      </c>
      <c r="F524" t="s">
        <v>1592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1063</v>
      </c>
      <c r="Q524">
        <v>0</v>
      </c>
      <c r="R524">
        <v>0</v>
      </c>
      <c r="S524">
        <f t="shared" si="8"/>
        <v>1063</v>
      </c>
      <c r="T524">
        <v>0</v>
      </c>
      <c r="U524">
        <v>0</v>
      </c>
      <c r="V524">
        <v>796</v>
      </c>
      <c r="W524">
        <v>1859</v>
      </c>
    </row>
    <row r="525" spans="1:23" ht="12.75">
      <c r="A525" t="s">
        <v>3202</v>
      </c>
      <c r="B525" t="s">
        <v>3203</v>
      </c>
      <c r="C525" t="s">
        <v>3191</v>
      </c>
      <c r="D525" t="s">
        <v>3204</v>
      </c>
      <c r="F525" t="s">
        <v>1592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250</v>
      </c>
      <c r="Q525">
        <v>0</v>
      </c>
      <c r="R525">
        <v>0</v>
      </c>
      <c r="S525">
        <f t="shared" si="8"/>
        <v>250</v>
      </c>
      <c r="T525">
        <v>0</v>
      </c>
      <c r="U525">
        <v>0</v>
      </c>
      <c r="V525">
        <v>0</v>
      </c>
      <c r="W525">
        <v>250</v>
      </c>
    </row>
    <row r="526" spans="1:23" ht="12.75">
      <c r="A526" t="s">
        <v>3205</v>
      </c>
      <c r="B526" t="s">
        <v>3206</v>
      </c>
      <c r="C526" t="s">
        <v>3191</v>
      </c>
      <c r="D526" t="s">
        <v>3207</v>
      </c>
      <c r="F526" t="s">
        <v>1592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224</v>
      </c>
      <c r="P526">
        <v>1150</v>
      </c>
      <c r="Q526">
        <v>0</v>
      </c>
      <c r="R526">
        <v>0</v>
      </c>
      <c r="S526">
        <f t="shared" si="8"/>
        <v>1150</v>
      </c>
      <c r="T526">
        <v>0</v>
      </c>
      <c r="U526">
        <v>0</v>
      </c>
      <c r="V526">
        <v>50</v>
      </c>
      <c r="W526">
        <v>1424</v>
      </c>
    </row>
    <row r="527" spans="1:23" ht="12.75">
      <c r="A527" t="s">
        <v>3208</v>
      </c>
      <c r="B527" t="s">
        <v>3209</v>
      </c>
      <c r="C527" t="s">
        <v>3191</v>
      </c>
      <c r="D527" t="s">
        <v>3210</v>
      </c>
      <c r="F527" t="s">
        <v>1592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12406</v>
      </c>
      <c r="Q527">
        <v>1219</v>
      </c>
      <c r="R527">
        <v>0</v>
      </c>
      <c r="S527">
        <f t="shared" si="8"/>
        <v>13625</v>
      </c>
      <c r="T527">
        <v>0</v>
      </c>
      <c r="U527">
        <v>0</v>
      </c>
      <c r="V527">
        <v>244</v>
      </c>
      <c r="W527">
        <v>13869</v>
      </c>
    </row>
    <row r="528" spans="1:23" ht="12.75">
      <c r="A528" t="s">
        <v>3211</v>
      </c>
      <c r="B528" t="s">
        <v>3212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6100</v>
      </c>
      <c r="Q528">
        <v>5000</v>
      </c>
      <c r="R528">
        <v>7000</v>
      </c>
      <c r="S528">
        <f t="shared" si="8"/>
        <v>18100</v>
      </c>
      <c r="T528">
        <v>0</v>
      </c>
      <c r="U528">
        <v>700</v>
      </c>
      <c r="V528">
        <v>500</v>
      </c>
      <c r="W528">
        <v>19300</v>
      </c>
    </row>
    <row r="529" spans="1:23" ht="12.75">
      <c r="A529" t="s">
        <v>3213</v>
      </c>
      <c r="B529" t="s">
        <v>3214</v>
      </c>
      <c r="C529" t="s">
        <v>3191</v>
      </c>
      <c r="D529" t="s">
        <v>3215</v>
      </c>
      <c r="F529" t="s">
        <v>1592</v>
      </c>
      <c r="G529">
        <v>0</v>
      </c>
      <c r="H529">
        <v>1</v>
      </c>
      <c r="I529">
        <v>0</v>
      </c>
      <c r="J529">
        <v>0</v>
      </c>
      <c r="K529">
        <v>49452</v>
      </c>
      <c r="L529">
        <v>0</v>
      </c>
      <c r="M529">
        <v>154000</v>
      </c>
      <c r="N529">
        <v>0</v>
      </c>
      <c r="O529">
        <v>37300</v>
      </c>
      <c r="P529">
        <v>55000</v>
      </c>
      <c r="Q529">
        <v>10000</v>
      </c>
      <c r="R529">
        <v>45000</v>
      </c>
      <c r="S529">
        <f t="shared" si="8"/>
        <v>110000</v>
      </c>
      <c r="T529">
        <v>2500</v>
      </c>
      <c r="U529">
        <v>0</v>
      </c>
      <c r="V529">
        <v>28500</v>
      </c>
      <c r="W529">
        <v>381752</v>
      </c>
    </row>
    <row r="530" spans="1:23" ht="12.75">
      <c r="A530" t="s">
        <v>3216</v>
      </c>
      <c r="B530" t="s">
        <v>3217</v>
      </c>
      <c r="C530" t="s">
        <v>3191</v>
      </c>
      <c r="D530" t="s">
        <v>3218</v>
      </c>
      <c r="F530" t="s">
        <v>1592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4000</v>
      </c>
      <c r="Q530">
        <v>1000</v>
      </c>
      <c r="R530">
        <v>200</v>
      </c>
      <c r="S530">
        <f t="shared" si="8"/>
        <v>5200</v>
      </c>
      <c r="T530">
        <v>300</v>
      </c>
      <c r="U530">
        <v>0</v>
      </c>
      <c r="V530">
        <v>1500</v>
      </c>
      <c r="W530">
        <v>7000</v>
      </c>
    </row>
    <row r="531" spans="1:23" ht="12.75">
      <c r="A531" t="s">
        <v>3219</v>
      </c>
      <c r="B531" t="s">
        <v>3220</v>
      </c>
      <c r="C531" t="s">
        <v>3221</v>
      </c>
      <c r="D531" t="s">
        <v>3222</v>
      </c>
      <c r="F531" t="s">
        <v>1592</v>
      </c>
      <c r="G531">
        <v>0</v>
      </c>
      <c r="H531">
        <v>0</v>
      </c>
      <c r="I531">
        <v>1</v>
      </c>
      <c r="J531">
        <v>0</v>
      </c>
      <c r="K531">
        <v>30000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f t="shared" si="8"/>
        <v>0</v>
      </c>
      <c r="T531">
        <v>0</v>
      </c>
      <c r="U531">
        <v>0</v>
      </c>
      <c r="V531">
        <v>0</v>
      </c>
      <c r="W531">
        <v>30000</v>
      </c>
    </row>
    <row r="532" spans="1:23" ht="12.75">
      <c r="A532" t="s">
        <v>3223</v>
      </c>
      <c r="B532" t="s">
        <v>3224</v>
      </c>
      <c r="C532" t="s">
        <v>3191</v>
      </c>
      <c r="D532" t="s">
        <v>3225</v>
      </c>
      <c r="F532" t="s">
        <v>1592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57500</v>
      </c>
      <c r="Q532">
        <v>522</v>
      </c>
      <c r="R532">
        <v>8700</v>
      </c>
      <c r="S532">
        <f t="shared" si="8"/>
        <v>66722</v>
      </c>
      <c r="T532">
        <v>0</v>
      </c>
      <c r="U532">
        <v>0</v>
      </c>
      <c r="V532">
        <v>50</v>
      </c>
      <c r="W532">
        <v>66772</v>
      </c>
    </row>
    <row r="533" spans="1:23" ht="12.75">
      <c r="A533" t="s">
        <v>3226</v>
      </c>
      <c r="B533" t="s">
        <v>3227</v>
      </c>
      <c r="C533" t="s">
        <v>3191</v>
      </c>
      <c r="D533" t="s">
        <v>3228</v>
      </c>
      <c r="F533" t="s">
        <v>1592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8000</v>
      </c>
      <c r="Q533">
        <v>350</v>
      </c>
      <c r="R533">
        <v>3000</v>
      </c>
      <c r="S533">
        <f t="shared" si="8"/>
        <v>11350</v>
      </c>
      <c r="T533">
        <v>0</v>
      </c>
      <c r="U533">
        <v>0</v>
      </c>
      <c r="V533">
        <v>750</v>
      </c>
      <c r="W533">
        <v>12100</v>
      </c>
    </row>
    <row r="534" spans="1:23" ht="12.75">
      <c r="A534" t="s">
        <v>3229</v>
      </c>
      <c r="B534" t="s">
        <v>3230</v>
      </c>
      <c r="C534" t="s">
        <v>3191</v>
      </c>
      <c r="D534" t="s">
        <v>3231</v>
      </c>
      <c r="F534" t="s">
        <v>1592</v>
      </c>
      <c r="G534">
        <v>0</v>
      </c>
      <c r="H534">
        <v>0</v>
      </c>
      <c r="I534">
        <v>0.081</v>
      </c>
      <c r="J534">
        <v>0</v>
      </c>
      <c r="K534">
        <v>1548</v>
      </c>
      <c r="L534">
        <v>0</v>
      </c>
      <c r="M534">
        <v>0</v>
      </c>
      <c r="N534">
        <v>0</v>
      </c>
      <c r="O534">
        <v>0</v>
      </c>
      <c r="P534">
        <v>150</v>
      </c>
      <c r="Q534">
        <v>0</v>
      </c>
      <c r="R534">
        <v>800</v>
      </c>
      <c r="S534">
        <f t="shared" si="8"/>
        <v>950</v>
      </c>
      <c r="T534">
        <v>0</v>
      </c>
      <c r="U534">
        <v>0</v>
      </c>
      <c r="V534">
        <v>0</v>
      </c>
      <c r="W534">
        <v>2498</v>
      </c>
    </row>
    <row r="535" spans="1:23" ht="12.75">
      <c r="A535" t="s">
        <v>3232</v>
      </c>
      <c r="B535" t="s">
        <v>3233</v>
      </c>
      <c r="C535" t="s">
        <v>3191</v>
      </c>
      <c r="D535" t="s">
        <v>3234</v>
      </c>
      <c r="F535" t="s">
        <v>1592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5459</v>
      </c>
      <c r="Q535">
        <v>1181</v>
      </c>
      <c r="R535">
        <v>0</v>
      </c>
      <c r="S535">
        <f t="shared" si="8"/>
        <v>6640</v>
      </c>
      <c r="T535">
        <v>0</v>
      </c>
      <c r="U535">
        <v>0</v>
      </c>
      <c r="V535">
        <v>136</v>
      </c>
      <c r="W535">
        <v>6776</v>
      </c>
    </row>
    <row r="536" spans="1:23" ht="12.75">
      <c r="A536" t="s">
        <v>3235</v>
      </c>
      <c r="B536" t="s">
        <v>3236</v>
      </c>
      <c r="C536" t="s">
        <v>3191</v>
      </c>
      <c r="D536" t="s">
        <v>3237</v>
      </c>
      <c r="F536" t="s">
        <v>1592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500</v>
      </c>
      <c r="Q536">
        <v>3500</v>
      </c>
      <c r="R536">
        <v>100</v>
      </c>
      <c r="S536">
        <f t="shared" si="8"/>
        <v>4100</v>
      </c>
      <c r="T536">
        <v>0</v>
      </c>
      <c r="U536">
        <v>0</v>
      </c>
      <c r="V536">
        <v>0</v>
      </c>
      <c r="W536">
        <v>4100</v>
      </c>
    </row>
    <row r="537" spans="1:23" ht="12.75">
      <c r="A537" t="s">
        <v>3238</v>
      </c>
      <c r="B537" t="s">
        <v>3239</v>
      </c>
      <c r="C537" t="s">
        <v>3191</v>
      </c>
      <c r="D537" t="s">
        <v>3240</v>
      </c>
      <c r="F537" t="s">
        <v>1592</v>
      </c>
      <c r="G537">
        <v>0</v>
      </c>
      <c r="H537">
        <v>0</v>
      </c>
      <c r="I537">
        <v>1.5</v>
      </c>
      <c r="J537">
        <v>0</v>
      </c>
      <c r="K537">
        <v>31350</v>
      </c>
      <c r="L537">
        <v>0</v>
      </c>
      <c r="M537">
        <v>0</v>
      </c>
      <c r="N537">
        <v>0</v>
      </c>
      <c r="O537">
        <v>5106</v>
      </c>
      <c r="P537">
        <v>20000</v>
      </c>
      <c r="Q537">
        <v>15000</v>
      </c>
      <c r="R537">
        <v>13126</v>
      </c>
      <c r="S537">
        <f t="shared" si="8"/>
        <v>48126</v>
      </c>
      <c r="T537">
        <v>0</v>
      </c>
      <c r="U537">
        <v>0</v>
      </c>
      <c r="V537">
        <v>25000</v>
      </c>
      <c r="W537">
        <v>109582</v>
      </c>
    </row>
    <row r="538" spans="1:23" ht="12.75">
      <c r="A538" t="s">
        <v>3241</v>
      </c>
      <c r="B538" t="s">
        <v>3242</v>
      </c>
      <c r="C538" t="s">
        <v>3191</v>
      </c>
      <c r="D538" t="s">
        <v>3243</v>
      </c>
      <c r="F538" t="s">
        <v>1592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1500</v>
      </c>
      <c r="R538">
        <v>0</v>
      </c>
      <c r="S538">
        <f t="shared" si="8"/>
        <v>1500</v>
      </c>
      <c r="T538">
        <v>0</v>
      </c>
      <c r="U538">
        <v>0</v>
      </c>
      <c r="V538">
        <v>0</v>
      </c>
      <c r="W538">
        <v>1500</v>
      </c>
    </row>
    <row r="539" spans="1:23" ht="12.75">
      <c r="A539" t="s">
        <v>3244</v>
      </c>
      <c r="B539" t="s">
        <v>3245</v>
      </c>
      <c r="C539" t="s">
        <v>3191</v>
      </c>
      <c r="D539" t="s">
        <v>3246</v>
      </c>
      <c r="F539" t="s">
        <v>1592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1184</v>
      </c>
      <c r="Q539">
        <v>0</v>
      </c>
      <c r="R539">
        <v>0</v>
      </c>
      <c r="S539">
        <f t="shared" si="8"/>
        <v>1184</v>
      </c>
      <c r="T539">
        <v>0</v>
      </c>
      <c r="U539">
        <v>0</v>
      </c>
      <c r="V539">
        <v>2165</v>
      </c>
      <c r="W539">
        <v>3349</v>
      </c>
    </row>
    <row r="540" spans="1:23" ht="12.75">
      <c r="A540" t="s">
        <v>3247</v>
      </c>
      <c r="B540" t="s">
        <v>3248</v>
      </c>
      <c r="C540" t="s">
        <v>3191</v>
      </c>
      <c r="D540" t="s">
        <v>3249</v>
      </c>
      <c r="F540" t="s">
        <v>1592</v>
      </c>
      <c r="G540">
        <v>0</v>
      </c>
      <c r="H540">
        <v>0</v>
      </c>
      <c r="I540">
        <v>2</v>
      </c>
      <c r="J540">
        <v>0</v>
      </c>
      <c r="K540">
        <v>37704</v>
      </c>
      <c r="L540">
        <v>0</v>
      </c>
      <c r="M540">
        <v>5090</v>
      </c>
      <c r="N540">
        <v>0</v>
      </c>
      <c r="O540">
        <v>10691</v>
      </c>
      <c r="P540">
        <v>16000</v>
      </c>
      <c r="Q540">
        <v>0</v>
      </c>
      <c r="R540">
        <v>0</v>
      </c>
      <c r="S540">
        <f t="shared" si="8"/>
        <v>16000</v>
      </c>
      <c r="T540">
        <v>0</v>
      </c>
      <c r="U540">
        <v>360</v>
      </c>
      <c r="V540">
        <v>0</v>
      </c>
      <c r="W540">
        <v>69845</v>
      </c>
    </row>
    <row r="541" spans="1:23" ht="12.75">
      <c r="A541" t="s">
        <v>3250</v>
      </c>
      <c r="B541" t="s">
        <v>3251</v>
      </c>
      <c r="C541" t="s">
        <v>3252</v>
      </c>
      <c r="D541" t="s">
        <v>3253</v>
      </c>
      <c r="F541" t="s">
        <v>1592</v>
      </c>
      <c r="G541">
        <v>0</v>
      </c>
      <c r="H541">
        <v>2</v>
      </c>
      <c r="I541">
        <v>0</v>
      </c>
      <c r="J541">
        <v>1</v>
      </c>
      <c r="K541">
        <v>94212</v>
      </c>
      <c r="L541">
        <v>0</v>
      </c>
      <c r="M541">
        <v>171792</v>
      </c>
      <c r="N541">
        <v>0</v>
      </c>
      <c r="O541">
        <v>21100</v>
      </c>
      <c r="P541">
        <v>23699</v>
      </c>
      <c r="Q541">
        <v>3000</v>
      </c>
      <c r="R541">
        <v>10000</v>
      </c>
      <c r="S541">
        <f t="shared" si="8"/>
        <v>36699</v>
      </c>
      <c r="T541">
        <v>0</v>
      </c>
      <c r="U541">
        <v>0</v>
      </c>
      <c r="V541">
        <v>15000</v>
      </c>
      <c r="W541">
        <v>338803</v>
      </c>
    </row>
    <row r="542" spans="1:23" ht="12.75">
      <c r="A542" t="s">
        <v>3254</v>
      </c>
      <c r="B542" t="s">
        <v>3255</v>
      </c>
      <c r="C542" t="s">
        <v>3191</v>
      </c>
      <c r="D542" t="s">
        <v>3256</v>
      </c>
      <c r="F542" t="s">
        <v>1592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1500</v>
      </c>
      <c r="Q542">
        <v>0</v>
      </c>
      <c r="R542">
        <v>0</v>
      </c>
      <c r="S542">
        <f t="shared" si="8"/>
        <v>1500</v>
      </c>
      <c r="T542">
        <v>0</v>
      </c>
      <c r="U542">
        <v>0</v>
      </c>
      <c r="V542">
        <v>0</v>
      </c>
      <c r="W542">
        <v>1500</v>
      </c>
    </row>
    <row r="543" spans="1:23" ht="12.75">
      <c r="A543" t="s">
        <v>3257</v>
      </c>
      <c r="B543" t="s">
        <v>3258</v>
      </c>
      <c r="C543" t="s">
        <v>3191</v>
      </c>
      <c r="D543" t="s">
        <v>3259</v>
      </c>
      <c r="F543" t="s">
        <v>1592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800</v>
      </c>
      <c r="Q543">
        <v>0</v>
      </c>
      <c r="R543">
        <v>0</v>
      </c>
      <c r="S543">
        <f t="shared" si="8"/>
        <v>800</v>
      </c>
      <c r="T543">
        <v>0</v>
      </c>
      <c r="U543">
        <v>0</v>
      </c>
      <c r="V543">
        <v>0</v>
      </c>
      <c r="W543">
        <v>800</v>
      </c>
    </row>
    <row r="544" spans="1:23" ht="12.75">
      <c r="A544" t="s">
        <v>3260</v>
      </c>
      <c r="B544" t="s">
        <v>3261</v>
      </c>
      <c r="C544" t="s">
        <v>3191</v>
      </c>
      <c r="D544" t="s">
        <v>3262</v>
      </c>
      <c r="F544" t="s">
        <v>1592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11670</v>
      </c>
      <c r="Q544">
        <v>0</v>
      </c>
      <c r="R544">
        <v>1459</v>
      </c>
      <c r="S544">
        <f t="shared" si="8"/>
        <v>13129</v>
      </c>
      <c r="T544">
        <v>0</v>
      </c>
      <c r="U544">
        <v>0</v>
      </c>
      <c r="V544">
        <v>0</v>
      </c>
      <c r="W544">
        <v>13129</v>
      </c>
    </row>
    <row r="545" spans="1:23" ht="12.75">
      <c r="A545" t="s">
        <v>3263</v>
      </c>
      <c r="B545" t="s">
        <v>3264</v>
      </c>
      <c r="C545" t="s">
        <v>3191</v>
      </c>
      <c r="D545" t="s">
        <v>3265</v>
      </c>
      <c r="F545" t="s">
        <v>1592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2660</v>
      </c>
      <c r="Q545">
        <v>0</v>
      </c>
      <c r="R545">
        <v>736</v>
      </c>
      <c r="S545">
        <f t="shared" si="8"/>
        <v>3396</v>
      </c>
      <c r="T545">
        <v>0</v>
      </c>
      <c r="U545">
        <v>0</v>
      </c>
      <c r="V545">
        <v>0</v>
      </c>
      <c r="W545">
        <v>3396</v>
      </c>
    </row>
    <row r="546" spans="1:23" ht="12.75">
      <c r="A546" t="s">
        <v>3266</v>
      </c>
      <c r="B546" t="s">
        <v>3267</v>
      </c>
      <c r="C546" t="s">
        <v>3191</v>
      </c>
      <c r="D546" t="s">
        <v>3268</v>
      </c>
      <c r="F546" t="s">
        <v>1592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3000</v>
      </c>
      <c r="Q546">
        <v>0</v>
      </c>
      <c r="R546">
        <v>10000</v>
      </c>
      <c r="S546">
        <f t="shared" si="8"/>
        <v>13000</v>
      </c>
      <c r="T546">
        <v>0</v>
      </c>
      <c r="U546">
        <v>0</v>
      </c>
      <c r="V546">
        <v>5000</v>
      </c>
      <c r="W546">
        <v>18000</v>
      </c>
    </row>
    <row r="547" spans="1:23" ht="12.75">
      <c r="A547" t="s">
        <v>3269</v>
      </c>
      <c r="B547" t="s">
        <v>3270</v>
      </c>
      <c r="C547" t="s">
        <v>3191</v>
      </c>
      <c r="D547" t="s">
        <v>3271</v>
      </c>
      <c r="F547" t="s">
        <v>1592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1000</v>
      </c>
      <c r="Q547">
        <v>0</v>
      </c>
      <c r="R547">
        <v>0</v>
      </c>
      <c r="S547">
        <f t="shared" si="8"/>
        <v>1000</v>
      </c>
      <c r="T547">
        <v>0</v>
      </c>
      <c r="U547">
        <v>0</v>
      </c>
      <c r="V547">
        <v>0</v>
      </c>
      <c r="W547">
        <v>1000</v>
      </c>
    </row>
    <row r="548" spans="1:23" ht="12.75">
      <c r="A548" t="s">
        <v>3272</v>
      </c>
      <c r="B548" t="s">
        <v>3273</v>
      </c>
      <c r="C548" t="s">
        <v>3191</v>
      </c>
      <c r="D548" t="s">
        <v>3274</v>
      </c>
      <c r="F548" t="s">
        <v>1592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27722</v>
      </c>
      <c r="Q548">
        <v>3000</v>
      </c>
      <c r="R548">
        <v>2000</v>
      </c>
      <c r="S548">
        <f t="shared" si="8"/>
        <v>32722</v>
      </c>
      <c r="T548">
        <v>0</v>
      </c>
      <c r="U548">
        <v>0</v>
      </c>
      <c r="V548">
        <v>2000</v>
      </c>
      <c r="W548">
        <v>34722</v>
      </c>
    </row>
    <row r="549" spans="1:23" ht="12.75">
      <c r="A549" t="s">
        <v>0</v>
      </c>
      <c r="B549" t="s">
        <v>1</v>
      </c>
      <c r="C549" t="s">
        <v>3191</v>
      </c>
      <c r="D549" t="s">
        <v>2</v>
      </c>
      <c r="F549" t="s">
        <v>1592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1500</v>
      </c>
      <c r="Q549">
        <v>450</v>
      </c>
      <c r="R549">
        <v>3300</v>
      </c>
      <c r="S549">
        <f t="shared" si="8"/>
        <v>5250</v>
      </c>
      <c r="T549">
        <v>0</v>
      </c>
      <c r="U549">
        <v>0</v>
      </c>
      <c r="V549">
        <v>75</v>
      </c>
      <c r="W549">
        <v>5325</v>
      </c>
    </row>
    <row r="550" spans="1:23" ht="12.75">
      <c r="A550" t="s">
        <v>3</v>
      </c>
      <c r="B550" t="s">
        <v>4</v>
      </c>
      <c r="C550" t="s">
        <v>3191</v>
      </c>
      <c r="D550" t="s">
        <v>5</v>
      </c>
      <c r="F550" t="s">
        <v>1592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28000</v>
      </c>
      <c r="N550">
        <v>0</v>
      </c>
      <c r="O550">
        <v>5320</v>
      </c>
      <c r="P550">
        <v>20000</v>
      </c>
      <c r="Q550">
        <v>0</v>
      </c>
      <c r="R550">
        <v>40000</v>
      </c>
      <c r="S550">
        <f t="shared" si="8"/>
        <v>60000</v>
      </c>
      <c r="T550">
        <v>0</v>
      </c>
      <c r="U550">
        <v>0</v>
      </c>
      <c r="V550">
        <v>0</v>
      </c>
      <c r="W550">
        <v>93320</v>
      </c>
    </row>
    <row r="551" spans="1:23" ht="12.75">
      <c r="A551" t="s">
        <v>6</v>
      </c>
      <c r="B551" t="s">
        <v>7</v>
      </c>
      <c r="C551" t="s">
        <v>3191</v>
      </c>
      <c r="D551" t="s">
        <v>8</v>
      </c>
      <c r="F551" t="s">
        <v>1592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2000</v>
      </c>
      <c r="Q551">
        <v>1000</v>
      </c>
      <c r="R551">
        <v>0</v>
      </c>
      <c r="S551">
        <f t="shared" si="8"/>
        <v>3000</v>
      </c>
      <c r="T551">
        <v>0</v>
      </c>
      <c r="U551">
        <v>0</v>
      </c>
      <c r="V551">
        <v>1000</v>
      </c>
      <c r="W551">
        <v>4000</v>
      </c>
    </row>
    <row r="552" spans="1:23" ht="12.75">
      <c r="A552" t="s">
        <v>9</v>
      </c>
      <c r="B552" t="s">
        <v>10</v>
      </c>
      <c r="C552" t="s">
        <v>3197</v>
      </c>
      <c r="D552" t="s">
        <v>11</v>
      </c>
      <c r="F552" t="s">
        <v>1592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15000</v>
      </c>
      <c r="N552">
        <v>0</v>
      </c>
      <c r="O552">
        <v>1078</v>
      </c>
      <c r="P552">
        <v>90182</v>
      </c>
      <c r="Q552">
        <v>0</v>
      </c>
      <c r="R552">
        <v>0</v>
      </c>
      <c r="S552">
        <f t="shared" si="8"/>
        <v>90182</v>
      </c>
      <c r="T552">
        <v>0</v>
      </c>
      <c r="U552">
        <v>0</v>
      </c>
      <c r="V552">
        <v>0</v>
      </c>
      <c r="W552">
        <v>106260</v>
      </c>
    </row>
    <row r="553" spans="1:23" ht="12.75">
      <c r="A553" t="s">
        <v>12</v>
      </c>
      <c r="B553" t="s">
        <v>13</v>
      </c>
      <c r="C553" t="s">
        <v>3197</v>
      </c>
      <c r="D553" t="s">
        <v>14</v>
      </c>
      <c r="F553" t="s">
        <v>1592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12830</v>
      </c>
      <c r="N553">
        <v>0</v>
      </c>
      <c r="O553">
        <v>152</v>
      </c>
      <c r="P553">
        <v>40076</v>
      </c>
      <c r="Q553">
        <v>0</v>
      </c>
      <c r="R553">
        <v>0</v>
      </c>
      <c r="S553">
        <f t="shared" si="8"/>
        <v>40076</v>
      </c>
      <c r="T553">
        <v>0</v>
      </c>
      <c r="U553">
        <v>0</v>
      </c>
      <c r="V553">
        <v>0</v>
      </c>
      <c r="W553">
        <v>53058</v>
      </c>
    </row>
    <row r="554" spans="1:23" ht="12.75">
      <c r="A554" t="s">
        <v>15</v>
      </c>
      <c r="B554" t="s">
        <v>16</v>
      </c>
      <c r="C554" t="s">
        <v>3252</v>
      </c>
      <c r="D554" t="s">
        <v>17</v>
      </c>
      <c r="F554" t="s">
        <v>1592</v>
      </c>
      <c r="G554">
        <v>0.017</v>
      </c>
      <c r="H554">
        <v>0</v>
      </c>
      <c r="I554">
        <v>0</v>
      </c>
      <c r="J554">
        <v>5.178</v>
      </c>
      <c r="K554">
        <v>153948</v>
      </c>
      <c r="L554">
        <v>0</v>
      </c>
      <c r="M554">
        <v>0</v>
      </c>
      <c r="N554">
        <v>0</v>
      </c>
      <c r="O554">
        <v>33026</v>
      </c>
      <c r="P554">
        <v>0</v>
      </c>
      <c r="Q554">
        <v>0</v>
      </c>
      <c r="R554">
        <v>0</v>
      </c>
      <c r="S554">
        <f t="shared" si="8"/>
        <v>0</v>
      </c>
      <c r="T554">
        <v>0</v>
      </c>
      <c r="U554">
        <v>0</v>
      </c>
      <c r="V554">
        <v>0</v>
      </c>
      <c r="W554">
        <v>186974</v>
      </c>
    </row>
    <row r="555" spans="1:23" ht="12.75">
      <c r="A555" t="s">
        <v>18</v>
      </c>
      <c r="B555" t="s">
        <v>19</v>
      </c>
      <c r="C555" t="s">
        <v>3252</v>
      </c>
      <c r="D555" t="s">
        <v>20</v>
      </c>
      <c r="F555" t="s">
        <v>1592</v>
      </c>
      <c r="G555">
        <v>0.079</v>
      </c>
      <c r="H555">
        <v>0</v>
      </c>
      <c r="I555">
        <v>5</v>
      </c>
      <c r="J555">
        <v>5.245</v>
      </c>
      <c r="K555">
        <v>262632</v>
      </c>
      <c r="L555">
        <v>0</v>
      </c>
      <c r="M555">
        <v>131250</v>
      </c>
      <c r="N555">
        <v>0</v>
      </c>
      <c r="O555">
        <v>70411</v>
      </c>
      <c r="P555">
        <v>0</v>
      </c>
      <c r="Q555">
        <v>0</v>
      </c>
      <c r="R555">
        <v>0</v>
      </c>
      <c r="S555">
        <f t="shared" si="8"/>
        <v>0</v>
      </c>
      <c r="T555">
        <v>0</v>
      </c>
      <c r="U555">
        <v>0</v>
      </c>
      <c r="V555">
        <v>0</v>
      </c>
      <c r="W555">
        <v>464293</v>
      </c>
    </row>
    <row r="556" spans="1:23" ht="12.75">
      <c r="A556" t="s">
        <v>21</v>
      </c>
      <c r="B556" t="s">
        <v>22</v>
      </c>
      <c r="C556" t="s">
        <v>3191</v>
      </c>
      <c r="D556" t="s">
        <v>23</v>
      </c>
      <c r="F556" t="s">
        <v>1592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6475</v>
      </c>
      <c r="N556">
        <v>0</v>
      </c>
      <c r="O556">
        <v>1850</v>
      </c>
      <c r="P556">
        <v>771</v>
      </c>
      <c r="Q556">
        <v>22</v>
      </c>
      <c r="R556">
        <v>0</v>
      </c>
      <c r="S556">
        <f t="shared" si="8"/>
        <v>793</v>
      </c>
      <c r="T556">
        <v>44000</v>
      </c>
      <c r="U556">
        <v>0</v>
      </c>
      <c r="V556">
        <v>100</v>
      </c>
      <c r="W556">
        <v>53218</v>
      </c>
    </row>
    <row r="557" spans="1:23" ht="12.75">
      <c r="A557" t="s">
        <v>24</v>
      </c>
      <c r="B557" t="s">
        <v>25</v>
      </c>
      <c r="C557" t="s">
        <v>3191</v>
      </c>
      <c r="D557" t="s">
        <v>26</v>
      </c>
      <c r="F557" t="s">
        <v>1592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36</v>
      </c>
      <c r="P557">
        <v>1000</v>
      </c>
      <c r="Q557">
        <v>0</v>
      </c>
      <c r="R557">
        <v>0</v>
      </c>
      <c r="S557">
        <f t="shared" si="8"/>
        <v>1000</v>
      </c>
      <c r="T557">
        <v>0</v>
      </c>
      <c r="U557">
        <v>0</v>
      </c>
      <c r="V557">
        <v>0</v>
      </c>
      <c r="W557">
        <v>1036</v>
      </c>
    </row>
    <row r="558" spans="1:23" ht="12.75">
      <c r="A558" t="s">
        <v>27</v>
      </c>
      <c r="B558" t="s">
        <v>28</v>
      </c>
      <c r="C558" t="s">
        <v>3191</v>
      </c>
      <c r="D558" t="s">
        <v>29</v>
      </c>
      <c r="F558" t="s">
        <v>1592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3500</v>
      </c>
      <c r="Q558">
        <v>5000</v>
      </c>
      <c r="R558">
        <v>0</v>
      </c>
      <c r="S558">
        <f t="shared" si="8"/>
        <v>8500</v>
      </c>
      <c r="T558">
        <v>0</v>
      </c>
      <c r="U558">
        <v>0</v>
      </c>
      <c r="V558">
        <v>500</v>
      </c>
      <c r="W558">
        <v>9000</v>
      </c>
    </row>
    <row r="559" spans="1:23" ht="12.75">
      <c r="A559" t="s">
        <v>30</v>
      </c>
      <c r="B559" t="s">
        <v>31</v>
      </c>
      <c r="C559" t="s">
        <v>3191</v>
      </c>
      <c r="D559" t="s">
        <v>32</v>
      </c>
      <c r="F559" t="s">
        <v>1592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32000</v>
      </c>
      <c r="Q559">
        <v>0</v>
      </c>
      <c r="R559">
        <v>0</v>
      </c>
      <c r="S559">
        <f t="shared" si="8"/>
        <v>32000</v>
      </c>
      <c r="T559">
        <v>0</v>
      </c>
      <c r="U559">
        <v>0</v>
      </c>
      <c r="V559">
        <v>0</v>
      </c>
      <c r="W559">
        <v>32000</v>
      </c>
    </row>
    <row r="560" spans="1:23" ht="12.75">
      <c r="A560" t="s">
        <v>33</v>
      </c>
      <c r="B560" t="s">
        <v>34</v>
      </c>
      <c r="C560" t="s">
        <v>3191</v>
      </c>
      <c r="D560" t="s">
        <v>35</v>
      </c>
      <c r="F560" t="s">
        <v>1592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4350</v>
      </c>
      <c r="N560">
        <v>0</v>
      </c>
      <c r="O560">
        <v>754</v>
      </c>
      <c r="P560">
        <v>0</v>
      </c>
      <c r="Q560">
        <v>0</v>
      </c>
      <c r="R560">
        <v>0</v>
      </c>
      <c r="S560">
        <f t="shared" si="8"/>
        <v>0</v>
      </c>
      <c r="T560">
        <v>0</v>
      </c>
      <c r="U560">
        <v>0</v>
      </c>
      <c r="V560">
        <v>0</v>
      </c>
      <c r="W560">
        <v>5104</v>
      </c>
    </row>
    <row r="561" spans="1:23" ht="12.75">
      <c r="A561" t="s">
        <v>36</v>
      </c>
      <c r="B561" t="s">
        <v>37</v>
      </c>
      <c r="C561" t="s">
        <v>3191</v>
      </c>
      <c r="D561" t="s">
        <v>38</v>
      </c>
      <c r="F561" t="s">
        <v>1592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600</v>
      </c>
      <c r="Q561">
        <v>1200</v>
      </c>
      <c r="R561">
        <v>0</v>
      </c>
      <c r="S561">
        <f t="shared" si="8"/>
        <v>1800</v>
      </c>
      <c r="T561">
        <v>0</v>
      </c>
      <c r="U561">
        <v>0</v>
      </c>
      <c r="V561">
        <v>0</v>
      </c>
      <c r="W561">
        <v>1800</v>
      </c>
    </row>
    <row r="562" spans="1:23" ht="12.75">
      <c r="A562" t="s">
        <v>39</v>
      </c>
      <c r="B562" t="s">
        <v>40</v>
      </c>
      <c r="C562" t="s">
        <v>3191</v>
      </c>
      <c r="D562" t="s">
        <v>41</v>
      </c>
      <c r="F562" t="s">
        <v>1592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22000</v>
      </c>
      <c r="Q562">
        <v>0</v>
      </c>
      <c r="R562">
        <v>0</v>
      </c>
      <c r="S562">
        <f t="shared" si="8"/>
        <v>22000</v>
      </c>
      <c r="T562">
        <v>0</v>
      </c>
      <c r="U562">
        <v>0</v>
      </c>
      <c r="V562">
        <v>0</v>
      </c>
      <c r="W562">
        <v>22000</v>
      </c>
    </row>
    <row r="563" spans="1:23" ht="12.75">
      <c r="A563" t="s">
        <v>42</v>
      </c>
      <c r="B563" t="s">
        <v>43</v>
      </c>
      <c r="C563" t="s">
        <v>3191</v>
      </c>
      <c r="D563" t="s">
        <v>44</v>
      </c>
      <c r="F563" t="s">
        <v>1592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9000</v>
      </c>
      <c r="Q563">
        <v>0</v>
      </c>
      <c r="R563">
        <v>0</v>
      </c>
      <c r="S563">
        <f t="shared" si="8"/>
        <v>9000</v>
      </c>
      <c r="T563">
        <v>0</v>
      </c>
      <c r="U563">
        <v>0</v>
      </c>
      <c r="V563">
        <v>0</v>
      </c>
      <c r="W563">
        <v>9000</v>
      </c>
    </row>
    <row r="564" spans="1:23" ht="12.75">
      <c r="A564" t="s">
        <v>45</v>
      </c>
      <c r="B564" t="s">
        <v>46</v>
      </c>
      <c r="C564" t="s">
        <v>3191</v>
      </c>
      <c r="D564" t="s">
        <v>47</v>
      </c>
      <c r="F564" t="s">
        <v>1592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5568</v>
      </c>
      <c r="N564">
        <v>0</v>
      </c>
      <c r="O564">
        <v>0</v>
      </c>
      <c r="P564">
        <v>531</v>
      </c>
      <c r="Q564">
        <v>0</v>
      </c>
      <c r="R564">
        <v>300</v>
      </c>
      <c r="S564">
        <f t="shared" si="8"/>
        <v>831</v>
      </c>
      <c r="T564">
        <v>0</v>
      </c>
      <c r="U564">
        <v>0</v>
      </c>
      <c r="V564">
        <v>0</v>
      </c>
      <c r="W564">
        <v>6399</v>
      </c>
    </row>
    <row r="565" spans="1:23" ht="12.75">
      <c r="A565" t="s">
        <v>48</v>
      </c>
      <c r="B565" t="s">
        <v>49</v>
      </c>
      <c r="C565" t="s">
        <v>3191</v>
      </c>
      <c r="D565" t="s">
        <v>50</v>
      </c>
      <c r="F565" t="s">
        <v>1592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1000</v>
      </c>
      <c r="O565">
        <v>0</v>
      </c>
      <c r="P565">
        <v>8500</v>
      </c>
      <c r="Q565">
        <v>100</v>
      </c>
      <c r="R565">
        <v>0</v>
      </c>
      <c r="S565">
        <f t="shared" si="8"/>
        <v>8600</v>
      </c>
      <c r="T565">
        <v>0</v>
      </c>
      <c r="U565">
        <v>0</v>
      </c>
      <c r="V565">
        <v>1000</v>
      </c>
      <c r="W565">
        <v>10600</v>
      </c>
    </row>
    <row r="566" spans="1:23" ht="12.75">
      <c r="A566" t="s">
        <v>51</v>
      </c>
      <c r="B566" t="s">
        <v>52</v>
      </c>
      <c r="C566" t="s">
        <v>3191</v>
      </c>
      <c r="D566" t="s">
        <v>53</v>
      </c>
      <c r="F566" t="s">
        <v>1592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1100</v>
      </c>
      <c r="Q566">
        <v>2000</v>
      </c>
      <c r="R566">
        <v>0</v>
      </c>
      <c r="S566">
        <f t="shared" si="8"/>
        <v>3100</v>
      </c>
      <c r="T566">
        <v>0</v>
      </c>
      <c r="U566">
        <v>0</v>
      </c>
      <c r="V566">
        <v>2500</v>
      </c>
      <c r="W566">
        <v>5600</v>
      </c>
    </row>
    <row r="567" spans="1:23" ht="12.75">
      <c r="A567" t="s">
        <v>54</v>
      </c>
      <c r="B567" t="s">
        <v>55</v>
      </c>
      <c r="C567" t="s">
        <v>3191</v>
      </c>
      <c r="D567" t="s">
        <v>56</v>
      </c>
      <c r="F567" t="s">
        <v>1592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16000</v>
      </c>
      <c r="N567">
        <v>0</v>
      </c>
      <c r="O567">
        <v>26330</v>
      </c>
      <c r="P567">
        <v>45000</v>
      </c>
      <c r="Q567">
        <v>25000</v>
      </c>
      <c r="R567">
        <v>12500</v>
      </c>
      <c r="S567">
        <f t="shared" si="8"/>
        <v>82500</v>
      </c>
      <c r="T567">
        <v>1000</v>
      </c>
      <c r="U567">
        <v>0</v>
      </c>
      <c r="V567">
        <v>10000</v>
      </c>
      <c r="W567">
        <v>135830</v>
      </c>
    </row>
    <row r="568" spans="1:23" ht="12.75">
      <c r="A568" t="s">
        <v>57</v>
      </c>
      <c r="B568" t="s">
        <v>58</v>
      </c>
      <c r="C568" t="s">
        <v>3191</v>
      </c>
      <c r="D568" t="s">
        <v>59</v>
      </c>
      <c r="F568" t="s">
        <v>1592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275</v>
      </c>
      <c r="Q568">
        <v>130</v>
      </c>
      <c r="R568">
        <v>0</v>
      </c>
      <c r="S568">
        <f t="shared" si="8"/>
        <v>405</v>
      </c>
      <c r="T568">
        <v>0</v>
      </c>
      <c r="U568">
        <v>0</v>
      </c>
      <c r="V568">
        <v>1000</v>
      </c>
      <c r="W568">
        <v>1405</v>
      </c>
    </row>
    <row r="569" spans="1:23" ht="12.75">
      <c r="A569" t="s">
        <v>60</v>
      </c>
      <c r="B569" t="s">
        <v>61</v>
      </c>
      <c r="C569" t="s">
        <v>3191</v>
      </c>
      <c r="D569" t="s">
        <v>62</v>
      </c>
      <c r="F569" t="s">
        <v>1592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17000</v>
      </c>
      <c r="N569">
        <v>0</v>
      </c>
      <c r="O569">
        <v>25</v>
      </c>
      <c r="P569">
        <v>0</v>
      </c>
      <c r="Q569">
        <v>0</v>
      </c>
      <c r="R569">
        <v>0</v>
      </c>
      <c r="S569">
        <f t="shared" si="8"/>
        <v>0</v>
      </c>
      <c r="T569">
        <v>0</v>
      </c>
      <c r="U569">
        <v>0</v>
      </c>
      <c r="V569">
        <v>0</v>
      </c>
      <c r="W569">
        <v>17025</v>
      </c>
    </row>
    <row r="570" spans="1:23" ht="12.75">
      <c r="A570" t="s">
        <v>63</v>
      </c>
      <c r="B570" t="s">
        <v>64</v>
      </c>
      <c r="C570" t="s">
        <v>3191</v>
      </c>
      <c r="D570" t="s">
        <v>65</v>
      </c>
      <c r="F570" t="s">
        <v>1592</v>
      </c>
      <c r="G570">
        <v>0</v>
      </c>
      <c r="H570">
        <v>0</v>
      </c>
      <c r="I570">
        <v>2.932</v>
      </c>
      <c r="J570">
        <v>0</v>
      </c>
      <c r="K570">
        <v>65514</v>
      </c>
      <c r="L570">
        <v>0</v>
      </c>
      <c r="M570">
        <v>0</v>
      </c>
      <c r="N570">
        <v>0</v>
      </c>
      <c r="O570">
        <v>7781</v>
      </c>
      <c r="P570">
        <v>0</v>
      </c>
      <c r="Q570">
        <v>0</v>
      </c>
      <c r="R570">
        <v>0</v>
      </c>
      <c r="S570">
        <f t="shared" si="8"/>
        <v>0</v>
      </c>
      <c r="T570">
        <v>0</v>
      </c>
      <c r="U570">
        <v>0</v>
      </c>
      <c r="V570">
        <v>0</v>
      </c>
      <c r="W570">
        <v>73295</v>
      </c>
    </row>
    <row r="571" spans="1:23" ht="12.75">
      <c r="A571" t="s">
        <v>66</v>
      </c>
      <c r="B571" t="s">
        <v>67</v>
      </c>
      <c r="C571" t="s">
        <v>3191</v>
      </c>
      <c r="D571" t="s">
        <v>68</v>
      </c>
      <c r="F571" t="s">
        <v>1592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600</v>
      </c>
      <c r="Q571">
        <v>0</v>
      </c>
      <c r="R571">
        <v>0</v>
      </c>
      <c r="S571">
        <f t="shared" si="8"/>
        <v>600</v>
      </c>
      <c r="T571">
        <v>0</v>
      </c>
      <c r="U571">
        <v>0</v>
      </c>
      <c r="V571">
        <v>0</v>
      </c>
      <c r="W571">
        <v>600</v>
      </c>
    </row>
    <row r="572" spans="1:23" ht="12.75">
      <c r="A572" t="s">
        <v>69</v>
      </c>
      <c r="B572" t="s">
        <v>70</v>
      </c>
      <c r="C572" t="s">
        <v>3191</v>
      </c>
      <c r="D572" t="s">
        <v>71</v>
      </c>
      <c r="F572" t="s">
        <v>1592</v>
      </c>
      <c r="G572">
        <v>0</v>
      </c>
      <c r="H572">
        <v>0</v>
      </c>
      <c r="I572">
        <v>1</v>
      </c>
      <c r="J572">
        <v>0</v>
      </c>
      <c r="K572">
        <v>15720</v>
      </c>
      <c r="L572">
        <v>0</v>
      </c>
      <c r="M572">
        <v>0</v>
      </c>
      <c r="N572">
        <v>0</v>
      </c>
      <c r="O572">
        <v>2455</v>
      </c>
      <c r="P572">
        <v>0</v>
      </c>
      <c r="Q572">
        <v>0</v>
      </c>
      <c r="R572">
        <v>0</v>
      </c>
      <c r="S572">
        <f t="shared" si="8"/>
        <v>0</v>
      </c>
      <c r="T572">
        <v>0</v>
      </c>
      <c r="U572">
        <v>0</v>
      </c>
      <c r="V572">
        <v>0</v>
      </c>
      <c r="W572">
        <v>18175</v>
      </c>
    </row>
    <row r="573" spans="1:23" ht="12.75">
      <c r="A573" t="s">
        <v>72</v>
      </c>
      <c r="B573" t="s">
        <v>73</v>
      </c>
      <c r="C573" t="s">
        <v>3191</v>
      </c>
      <c r="D573" t="s">
        <v>74</v>
      </c>
      <c r="F573" t="s">
        <v>1592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5000</v>
      </c>
      <c r="Q573">
        <v>0</v>
      </c>
      <c r="R573">
        <v>0</v>
      </c>
      <c r="S573">
        <f t="shared" si="8"/>
        <v>5000</v>
      </c>
      <c r="T573">
        <v>0</v>
      </c>
      <c r="U573">
        <v>0</v>
      </c>
      <c r="V573">
        <v>0</v>
      </c>
      <c r="W573">
        <v>5000</v>
      </c>
    </row>
    <row r="574" spans="1:23" ht="12.75">
      <c r="A574" t="s">
        <v>75</v>
      </c>
      <c r="B574" t="s">
        <v>76</v>
      </c>
      <c r="C574" t="s">
        <v>3191</v>
      </c>
      <c r="D574" t="s">
        <v>77</v>
      </c>
      <c r="F574" t="s">
        <v>1592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450</v>
      </c>
      <c r="P574">
        <v>2000</v>
      </c>
      <c r="Q574">
        <v>0</v>
      </c>
      <c r="R574">
        <v>0</v>
      </c>
      <c r="S574">
        <f t="shared" si="8"/>
        <v>2000</v>
      </c>
      <c r="T574">
        <v>0</v>
      </c>
      <c r="U574">
        <v>0</v>
      </c>
      <c r="V574">
        <v>0</v>
      </c>
      <c r="W574">
        <v>2450</v>
      </c>
    </row>
    <row r="575" spans="1:23" ht="12.75">
      <c r="A575" t="s">
        <v>78</v>
      </c>
      <c r="B575" t="s">
        <v>79</v>
      </c>
      <c r="C575" t="s">
        <v>3191</v>
      </c>
      <c r="D575" t="s">
        <v>80</v>
      </c>
      <c r="F575" t="s">
        <v>1592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2500</v>
      </c>
      <c r="Q575">
        <v>0</v>
      </c>
      <c r="R575">
        <v>0</v>
      </c>
      <c r="S575">
        <f t="shared" si="8"/>
        <v>2500</v>
      </c>
      <c r="T575">
        <v>0</v>
      </c>
      <c r="U575">
        <v>0</v>
      </c>
      <c r="V575">
        <v>0</v>
      </c>
      <c r="W575">
        <v>2500</v>
      </c>
    </row>
    <row r="576" spans="1:23" ht="12.75">
      <c r="A576" t="s">
        <v>81</v>
      </c>
      <c r="B576" t="s">
        <v>82</v>
      </c>
      <c r="C576" t="s">
        <v>3191</v>
      </c>
      <c r="D576" t="s">
        <v>83</v>
      </c>
      <c r="F576" t="s">
        <v>1592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600</v>
      </c>
      <c r="Q576">
        <v>0</v>
      </c>
      <c r="R576">
        <v>0</v>
      </c>
      <c r="S576">
        <f t="shared" si="8"/>
        <v>600</v>
      </c>
      <c r="T576">
        <v>0</v>
      </c>
      <c r="U576">
        <v>0</v>
      </c>
      <c r="V576">
        <v>0</v>
      </c>
      <c r="W576">
        <v>600</v>
      </c>
    </row>
    <row r="577" spans="1:23" ht="12.75">
      <c r="A577" t="s">
        <v>84</v>
      </c>
      <c r="B577" t="s">
        <v>85</v>
      </c>
      <c r="C577" t="s">
        <v>3191</v>
      </c>
      <c r="D577" t="s">
        <v>86</v>
      </c>
      <c r="F577" t="s">
        <v>1592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1500</v>
      </c>
      <c r="Q577">
        <v>0</v>
      </c>
      <c r="R577">
        <v>0</v>
      </c>
      <c r="S577">
        <f t="shared" si="8"/>
        <v>1500</v>
      </c>
      <c r="T577">
        <v>0</v>
      </c>
      <c r="U577">
        <v>0</v>
      </c>
      <c r="V577">
        <v>0</v>
      </c>
      <c r="W577">
        <v>1500</v>
      </c>
    </row>
    <row r="578" spans="1:23" ht="12.75">
      <c r="A578" t="s">
        <v>87</v>
      </c>
      <c r="B578" t="s">
        <v>88</v>
      </c>
      <c r="C578" t="s">
        <v>3191</v>
      </c>
      <c r="D578" t="s">
        <v>89</v>
      </c>
      <c r="F578" t="s">
        <v>1592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300</v>
      </c>
      <c r="Q578">
        <v>3400</v>
      </c>
      <c r="R578">
        <v>0</v>
      </c>
      <c r="S578">
        <f t="shared" si="8"/>
        <v>3700</v>
      </c>
      <c r="T578">
        <v>0</v>
      </c>
      <c r="U578">
        <v>0</v>
      </c>
      <c r="V578">
        <v>0</v>
      </c>
      <c r="W578">
        <v>3700</v>
      </c>
    </row>
    <row r="579" spans="1:23" ht="12.75">
      <c r="A579" t="s">
        <v>90</v>
      </c>
      <c r="B579" t="s">
        <v>91</v>
      </c>
      <c r="C579" t="s">
        <v>3191</v>
      </c>
      <c r="D579" t="s">
        <v>92</v>
      </c>
      <c r="F579" t="s">
        <v>1592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200</v>
      </c>
      <c r="Q579">
        <v>2000</v>
      </c>
      <c r="R579">
        <v>0</v>
      </c>
      <c r="S579">
        <f t="shared" si="8"/>
        <v>2200</v>
      </c>
      <c r="T579">
        <v>0</v>
      </c>
      <c r="U579">
        <v>0</v>
      </c>
      <c r="V579">
        <v>0</v>
      </c>
      <c r="W579">
        <v>2200</v>
      </c>
    </row>
    <row r="580" spans="1:23" ht="12.75">
      <c r="A580" t="s">
        <v>93</v>
      </c>
      <c r="B580" t="s">
        <v>94</v>
      </c>
      <c r="C580" t="s">
        <v>3191</v>
      </c>
      <c r="D580" t="s">
        <v>95</v>
      </c>
      <c r="F580" t="s">
        <v>1592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500</v>
      </c>
      <c r="Q580">
        <v>600</v>
      </c>
      <c r="R580">
        <v>0</v>
      </c>
      <c r="S580">
        <f t="shared" si="8"/>
        <v>1100</v>
      </c>
      <c r="T580">
        <v>0</v>
      </c>
      <c r="U580">
        <v>0</v>
      </c>
      <c r="V580">
        <v>10</v>
      </c>
      <c r="W580">
        <v>1110</v>
      </c>
    </row>
    <row r="581" spans="1:23" ht="12.75">
      <c r="A581" t="s">
        <v>96</v>
      </c>
      <c r="B581" t="s">
        <v>97</v>
      </c>
      <c r="C581" t="s">
        <v>3191</v>
      </c>
      <c r="D581" t="s">
        <v>98</v>
      </c>
      <c r="F581" t="s">
        <v>1592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600</v>
      </c>
      <c r="Q581">
        <v>0</v>
      </c>
      <c r="R581">
        <v>0</v>
      </c>
      <c r="S581">
        <f t="shared" si="8"/>
        <v>600</v>
      </c>
      <c r="T581">
        <v>0</v>
      </c>
      <c r="U581">
        <v>0</v>
      </c>
      <c r="V581">
        <v>0</v>
      </c>
      <c r="W581">
        <v>600</v>
      </c>
    </row>
    <row r="582" spans="1:23" ht="12.75">
      <c r="A582" t="s">
        <v>99</v>
      </c>
      <c r="B582" t="s">
        <v>100</v>
      </c>
      <c r="C582" t="s">
        <v>3191</v>
      </c>
      <c r="D582" t="s">
        <v>101</v>
      </c>
      <c r="F582" t="s">
        <v>1592</v>
      </c>
      <c r="G582">
        <v>0</v>
      </c>
      <c r="H582">
        <v>0</v>
      </c>
      <c r="I582">
        <v>1</v>
      </c>
      <c r="J582">
        <v>0</v>
      </c>
      <c r="K582">
        <v>40380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f t="shared" si="8"/>
        <v>0</v>
      </c>
      <c r="T582">
        <v>0</v>
      </c>
      <c r="U582">
        <v>0</v>
      </c>
      <c r="V582">
        <v>0</v>
      </c>
      <c r="W582">
        <v>40380</v>
      </c>
    </row>
    <row r="583" spans="1:23" ht="12.75">
      <c r="A583" t="s">
        <v>102</v>
      </c>
      <c r="B583" t="s">
        <v>103</v>
      </c>
      <c r="C583" t="s">
        <v>3191</v>
      </c>
      <c r="D583" t="s">
        <v>104</v>
      </c>
      <c r="F583" t="s">
        <v>1592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800</v>
      </c>
      <c r="Q583">
        <v>0</v>
      </c>
      <c r="R583">
        <v>0</v>
      </c>
      <c r="S583">
        <f t="shared" si="8"/>
        <v>800</v>
      </c>
      <c r="T583">
        <v>0</v>
      </c>
      <c r="U583">
        <v>0</v>
      </c>
      <c r="V583">
        <v>0</v>
      </c>
      <c r="W583">
        <v>800</v>
      </c>
    </row>
    <row r="584" spans="1:23" ht="12.75">
      <c r="A584" t="s">
        <v>105</v>
      </c>
      <c r="B584" t="s">
        <v>106</v>
      </c>
      <c r="C584" t="s">
        <v>3191</v>
      </c>
      <c r="D584" t="s">
        <v>107</v>
      </c>
      <c r="F584" t="s">
        <v>1592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500</v>
      </c>
      <c r="Q584">
        <v>0</v>
      </c>
      <c r="R584">
        <v>0</v>
      </c>
      <c r="S584">
        <f t="shared" si="8"/>
        <v>500</v>
      </c>
      <c r="T584">
        <v>0</v>
      </c>
      <c r="U584">
        <v>0</v>
      </c>
      <c r="V584">
        <v>0</v>
      </c>
      <c r="W584">
        <v>500</v>
      </c>
    </row>
    <row r="585" spans="1:23" ht="12.75">
      <c r="A585" t="s">
        <v>108</v>
      </c>
      <c r="B585" t="s">
        <v>109</v>
      </c>
      <c r="C585" t="s">
        <v>3191</v>
      </c>
      <c r="D585" t="s">
        <v>110</v>
      </c>
      <c r="F585" t="s">
        <v>1592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12000</v>
      </c>
      <c r="N585">
        <v>0</v>
      </c>
      <c r="O585">
        <v>0</v>
      </c>
      <c r="P585">
        <v>1500</v>
      </c>
      <c r="Q585">
        <v>0</v>
      </c>
      <c r="R585">
        <v>0</v>
      </c>
      <c r="S585">
        <f t="shared" si="8"/>
        <v>1500</v>
      </c>
      <c r="T585">
        <v>0</v>
      </c>
      <c r="U585">
        <v>0</v>
      </c>
      <c r="V585">
        <v>0</v>
      </c>
      <c r="W585">
        <v>13500</v>
      </c>
    </row>
    <row r="586" spans="1:23" ht="12.75">
      <c r="A586" t="s">
        <v>111</v>
      </c>
      <c r="B586" t="s">
        <v>112</v>
      </c>
      <c r="C586" t="s">
        <v>3191</v>
      </c>
      <c r="D586" t="s">
        <v>113</v>
      </c>
      <c r="F586" t="s">
        <v>1592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1900</v>
      </c>
      <c r="Q586">
        <v>0</v>
      </c>
      <c r="R586">
        <v>0</v>
      </c>
      <c r="S586">
        <f t="shared" si="8"/>
        <v>1900</v>
      </c>
      <c r="T586">
        <v>0</v>
      </c>
      <c r="U586">
        <v>0</v>
      </c>
      <c r="V586">
        <v>1600</v>
      </c>
      <c r="W586">
        <v>3500</v>
      </c>
    </row>
    <row r="587" spans="1:23" ht="12.75">
      <c r="A587" t="s">
        <v>114</v>
      </c>
      <c r="B587" t="s">
        <v>115</v>
      </c>
      <c r="C587" t="s">
        <v>3191</v>
      </c>
      <c r="D587" t="s">
        <v>116</v>
      </c>
      <c r="F587" t="s">
        <v>1592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38500</v>
      </c>
      <c r="Q587">
        <v>0</v>
      </c>
      <c r="R587">
        <v>0</v>
      </c>
      <c r="S587">
        <f aca="true" t="shared" si="9" ref="S587:S650">SUM(P587:R587)</f>
        <v>38500</v>
      </c>
      <c r="T587">
        <v>0</v>
      </c>
      <c r="U587">
        <v>0</v>
      </c>
      <c r="V587">
        <v>0</v>
      </c>
      <c r="W587">
        <v>38500</v>
      </c>
    </row>
    <row r="588" spans="1:23" ht="12.75">
      <c r="A588" t="s">
        <v>117</v>
      </c>
      <c r="B588" t="s">
        <v>118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2450</v>
      </c>
      <c r="Q588">
        <v>0</v>
      </c>
      <c r="R588">
        <v>0</v>
      </c>
      <c r="S588">
        <f t="shared" si="9"/>
        <v>2450</v>
      </c>
      <c r="T588">
        <v>0</v>
      </c>
      <c r="U588">
        <v>0</v>
      </c>
      <c r="V588">
        <v>0</v>
      </c>
      <c r="W588">
        <v>2450</v>
      </c>
    </row>
    <row r="589" spans="1:23" ht="12.75">
      <c r="A589" t="s">
        <v>119</v>
      </c>
      <c r="B589" t="s">
        <v>120</v>
      </c>
      <c r="C589" t="s">
        <v>3191</v>
      </c>
      <c r="D589" t="s">
        <v>121</v>
      </c>
      <c r="F589" t="s">
        <v>1592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2400</v>
      </c>
      <c r="Q589">
        <v>0</v>
      </c>
      <c r="R589">
        <v>0</v>
      </c>
      <c r="S589">
        <f t="shared" si="9"/>
        <v>2400</v>
      </c>
      <c r="T589">
        <v>0</v>
      </c>
      <c r="U589">
        <v>0</v>
      </c>
      <c r="V589">
        <v>0</v>
      </c>
      <c r="W589">
        <v>2400</v>
      </c>
    </row>
    <row r="590" spans="1:23" ht="12.75">
      <c r="A590" t="s">
        <v>122</v>
      </c>
      <c r="B590" t="s">
        <v>123</v>
      </c>
      <c r="C590" t="s">
        <v>3191</v>
      </c>
      <c r="D590" t="s">
        <v>124</v>
      </c>
      <c r="F590" t="s">
        <v>1592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2500</v>
      </c>
      <c r="N590">
        <v>0</v>
      </c>
      <c r="O590">
        <v>0</v>
      </c>
      <c r="P590">
        <v>5000</v>
      </c>
      <c r="Q590">
        <v>2000</v>
      </c>
      <c r="R590">
        <v>0</v>
      </c>
      <c r="S590">
        <f t="shared" si="9"/>
        <v>7000</v>
      </c>
      <c r="T590">
        <v>0</v>
      </c>
      <c r="U590">
        <v>0</v>
      </c>
      <c r="V590">
        <v>500</v>
      </c>
      <c r="W590">
        <v>10000</v>
      </c>
    </row>
    <row r="591" spans="1:23" ht="12.75">
      <c r="A591" t="s">
        <v>125</v>
      </c>
      <c r="B591" t="s">
        <v>126</v>
      </c>
      <c r="C591" t="s">
        <v>3191</v>
      </c>
      <c r="D591" t="s">
        <v>191</v>
      </c>
      <c r="F591" t="s">
        <v>1592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1000</v>
      </c>
      <c r="Q591">
        <v>2000</v>
      </c>
      <c r="R591">
        <v>0</v>
      </c>
      <c r="S591">
        <f t="shared" si="9"/>
        <v>3000</v>
      </c>
      <c r="T591">
        <v>0</v>
      </c>
      <c r="U591">
        <v>0</v>
      </c>
      <c r="V591">
        <v>0</v>
      </c>
      <c r="W591">
        <v>3000</v>
      </c>
    </row>
    <row r="592" spans="1:23" ht="12.75">
      <c r="A592" t="s">
        <v>192</v>
      </c>
      <c r="B592" t="s">
        <v>193</v>
      </c>
      <c r="C592" t="s">
        <v>3191</v>
      </c>
      <c r="D592" t="s">
        <v>194</v>
      </c>
      <c r="F592" t="s">
        <v>1592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22000</v>
      </c>
      <c r="Q592">
        <v>0</v>
      </c>
      <c r="R592">
        <v>0</v>
      </c>
      <c r="S592">
        <f t="shared" si="9"/>
        <v>22000</v>
      </c>
      <c r="T592">
        <v>0</v>
      </c>
      <c r="U592">
        <v>0</v>
      </c>
      <c r="V592">
        <v>0</v>
      </c>
      <c r="W592">
        <v>22000</v>
      </c>
    </row>
    <row r="593" spans="1:23" ht="12.75">
      <c r="A593" t="s">
        <v>195</v>
      </c>
      <c r="B593" t="s">
        <v>196</v>
      </c>
      <c r="C593" t="s">
        <v>3197</v>
      </c>
      <c r="D593" t="s">
        <v>197</v>
      </c>
      <c r="F593" t="s">
        <v>1592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96000</v>
      </c>
      <c r="Q593">
        <v>0</v>
      </c>
      <c r="R593">
        <v>0</v>
      </c>
      <c r="S593">
        <f t="shared" si="9"/>
        <v>96000</v>
      </c>
      <c r="T593">
        <v>0</v>
      </c>
      <c r="U593">
        <v>0</v>
      </c>
      <c r="V593">
        <v>0</v>
      </c>
      <c r="W593">
        <v>96000</v>
      </c>
    </row>
    <row r="594" spans="1:23" ht="12.75">
      <c r="A594" t="s">
        <v>198</v>
      </c>
      <c r="B594" t="s">
        <v>199</v>
      </c>
      <c r="C594" t="s">
        <v>3191</v>
      </c>
      <c r="D594" t="s">
        <v>200</v>
      </c>
      <c r="F594" t="s">
        <v>1592</v>
      </c>
      <c r="G594">
        <v>0</v>
      </c>
      <c r="H594">
        <v>0</v>
      </c>
      <c r="I594">
        <v>1.3</v>
      </c>
      <c r="J594">
        <v>0</v>
      </c>
      <c r="K594">
        <v>34182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f t="shared" si="9"/>
        <v>0</v>
      </c>
      <c r="T594">
        <v>0</v>
      </c>
      <c r="U594">
        <v>0</v>
      </c>
      <c r="V594">
        <v>0</v>
      </c>
      <c r="W594">
        <v>34182</v>
      </c>
    </row>
    <row r="595" spans="1:23" ht="12.75">
      <c r="A595" t="s">
        <v>1426</v>
      </c>
      <c r="B595" t="s">
        <v>1427</v>
      </c>
      <c r="C595" t="s">
        <v>1428</v>
      </c>
      <c r="D595" t="s">
        <v>1429</v>
      </c>
      <c r="F595" t="s">
        <v>1592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90000</v>
      </c>
      <c r="N595">
        <v>0</v>
      </c>
      <c r="O595">
        <v>578</v>
      </c>
      <c r="P595">
        <v>10000</v>
      </c>
      <c r="Q595">
        <v>1500</v>
      </c>
      <c r="R595">
        <v>26000</v>
      </c>
      <c r="S595">
        <f t="shared" si="9"/>
        <v>37500</v>
      </c>
      <c r="T595">
        <v>0</v>
      </c>
      <c r="U595">
        <v>0</v>
      </c>
      <c r="V595">
        <v>250</v>
      </c>
      <c r="W595">
        <v>128328</v>
      </c>
    </row>
    <row r="596" spans="1:23" ht="12.75">
      <c r="A596" t="s">
        <v>1430</v>
      </c>
      <c r="B596" t="s">
        <v>1431</v>
      </c>
      <c r="C596" t="s">
        <v>1428</v>
      </c>
      <c r="D596" t="s">
        <v>1432</v>
      </c>
      <c r="F596" t="s">
        <v>1592</v>
      </c>
      <c r="G596">
        <v>0</v>
      </c>
      <c r="H596">
        <v>0</v>
      </c>
      <c r="I596">
        <v>1</v>
      </c>
      <c r="J596">
        <v>0</v>
      </c>
      <c r="K596">
        <v>18708</v>
      </c>
      <c r="L596">
        <v>0</v>
      </c>
      <c r="M596">
        <v>7594</v>
      </c>
      <c r="N596">
        <v>0</v>
      </c>
      <c r="O596">
        <v>6082</v>
      </c>
      <c r="P596">
        <v>7450</v>
      </c>
      <c r="Q596">
        <v>1500</v>
      </c>
      <c r="R596">
        <v>0</v>
      </c>
      <c r="S596">
        <f t="shared" si="9"/>
        <v>8950</v>
      </c>
      <c r="T596">
        <v>0</v>
      </c>
      <c r="U596">
        <v>0</v>
      </c>
      <c r="V596">
        <v>3500</v>
      </c>
      <c r="W596">
        <v>44834</v>
      </c>
    </row>
    <row r="597" spans="1:23" ht="12.75">
      <c r="A597" t="s">
        <v>1433</v>
      </c>
      <c r="B597" t="s">
        <v>1434</v>
      </c>
      <c r="C597" t="s">
        <v>1428</v>
      </c>
      <c r="D597" t="s">
        <v>1435</v>
      </c>
      <c r="F597" t="s">
        <v>1592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6397</v>
      </c>
      <c r="N597">
        <v>0</v>
      </c>
      <c r="O597">
        <v>3</v>
      </c>
      <c r="P597">
        <v>2934</v>
      </c>
      <c r="Q597">
        <v>0</v>
      </c>
      <c r="R597">
        <v>0</v>
      </c>
      <c r="S597">
        <f t="shared" si="9"/>
        <v>2934</v>
      </c>
      <c r="T597">
        <v>0</v>
      </c>
      <c r="U597">
        <v>0</v>
      </c>
      <c r="V597">
        <v>3100</v>
      </c>
      <c r="W597">
        <v>12434</v>
      </c>
    </row>
    <row r="598" spans="1:23" ht="12.75">
      <c r="A598" t="s">
        <v>1436</v>
      </c>
      <c r="B598" t="s">
        <v>1437</v>
      </c>
      <c r="C598" t="s">
        <v>1428</v>
      </c>
      <c r="D598" t="s">
        <v>1438</v>
      </c>
      <c r="F598" t="s">
        <v>1592</v>
      </c>
      <c r="G598">
        <v>0</v>
      </c>
      <c r="H598">
        <v>0</v>
      </c>
      <c r="I598">
        <v>2</v>
      </c>
      <c r="J598">
        <v>0</v>
      </c>
      <c r="K598">
        <v>43488</v>
      </c>
      <c r="L598">
        <v>0</v>
      </c>
      <c r="M598">
        <v>10246</v>
      </c>
      <c r="N598">
        <v>0</v>
      </c>
      <c r="O598">
        <v>13170</v>
      </c>
      <c r="P598">
        <v>9950</v>
      </c>
      <c r="Q598">
        <v>200</v>
      </c>
      <c r="R598">
        <v>1200</v>
      </c>
      <c r="S598">
        <f t="shared" si="9"/>
        <v>11350</v>
      </c>
      <c r="T598">
        <v>0</v>
      </c>
      <c r="U598">
        <v>1000</v>
      </c>
      <c r="V598">
        <v>0</v>
      </c>
      <c r="W598">
        <v>79254</v>
      </c>
    </row>
    <row r="599" spans="1:23" ht="12.75">
      <c r="A599" t="s">
        <v>1439</v>
      </c>
      <c r="B599" t="s">
        <v>1440</v>
      </c>
      <c r="C599" t="s">
        <v>1428</v>
      </c>
      <c r="D599" t="s">
        <v>1441</v>
      </c>
      <c r="F599" t="s">
        <v>1592</v>
      </c>
      <c r="G599">
        <v>0</v>
      </c>
      <c r="H599">
        <v>0</v>
      </c>
      <c r="I599">
        <v>1</v>
      </c>
      <c r="J599">
        <v>0</v>
      </c>
      <c r="K599">
        <v>18372</v>
      </c>
      <c r="L599">
        <v>0</v>
      </c>
      <c r="M599">
        <v>25000</v>
      </c>
      <c r="N599">
        <v>0</v>
      </c>
      <c r="O599">
        <v>5500</v>
      </c>
      <c r="P599">
        <v>2450</v>
      </c>
      <c r="Q599">
        <v>50</v>
      </c>
      <c r="R599">
        <v>1700</v>
      </c>
      <c r="S599">
        <f t="shared" si="9"/>
        <v>4200</v>
      </c>
      <c r="T599">
        <v>0</v>
      </c>
      <c r="U599">
        <v>0</v>
      </c>
      <c r="V599">
        <v>0</v>
      </c>
      <c r="W599">
        <v>53072</v>
      </c>
    </row>
    <row r="600" spans="1:23" ht="12.75">
      <c r="A600" t="s">
        <v>1442</v>
      </c>
      <c r="B600" t="s">
        <v>1443</v>
      </c>
      <c r="C600" t="s">
        <v>1428</v>
      </c>
      <c r="D600" t="s">
        <v>1444</v>
      </c>
      <c r="F600" t="s">
        <v>1592</v>
      </c>
      <c r="G600">
        <v>0</v>
      </c>
      <c r="H600">
        <v>0</v>
      </c>
      <c r="I600">
        <v>1</v>
      </c>
      <c r="J600">
        <v>0</v>
      </c>
      <c r="K600">
        <v>30816</v>
      </c>
      <c r="L600">
        <v>0</v>
      </c>
      <c r="M600">
        <v>45935</v>
      </c>
      <c r="N600">
        <v>0</v>
      </c>
      <c r="O600">
        <v>14240</v>
      </c>
      <c r="P600">
        <v>6105</v>
      </c>
      <c r="Q600">
        <v>200</v>
      </c>
      <c r="R600">
        <v>262</v>
      </c>
      <c r="S600">
        <f t="shared" si="9"/>
        <v>6567</v>
      </c>
      <c r="T600">
        <v>0</v>
      </c>
      <c r="U600">
        <v>0</v>
      </c>
      <c r="V600">
        <v>0</v>
      </c>
      <c r="W600">
        <v>97558</v>
      </c>
    </row>
    <row r="601" spans="1:23" ht="12.75">
      <c r="A601" t="s">
        <v>1445</v>
      </c>
      <c r="B601" t="s">
        <v>1446</v>
      </c>
      <c r="C601" t="s">
        <v>1447</v>
      </c>
      <c r="D601" t="s">
        <v>1448</v>
      </c>
      <c r="F601" t="s">
        <v>1592</v>
      </c>
      <c r="G601">
        <v>0</v>
      </c>
      <c r="H601">
        <v>0</v>
      </c>
      <c r="I601">
        <v>1</v>
      </c>
      <c r="J601">
        <v>0</v>
      </c>
      <c r="K601">
        <v>22140</v>
      </c>
      <c r="L601">
        <v>0</v>
      </c>
      <c r="M601">
        <v>95225</v>
      </c>
      <c r="N601">
        <v>0</v>
      </c>
      <c r="O601">
        <v>30472</v>
      </c>
      <c r="P601">
        <v>12038</v>
      </c>
      <c r="Q601">
        <v>550</v>
      </c>
      <c r="R601">
        <v>1200</v>
      </c>
      <c r="S601">
        <f t="shared" si="9"/>
        <v>13788</v>
      </c>
      <c r="T601">
        <v>0</v>
      </c>
      <c r="U601">
        <v>0</v>
      </c>
      <c r="V601">
        <v>600</v>
      </c>
      <c r="W601">
        <v>162225</v>
      </c>
    </row>
    <row r="602" spans="1:23" ht="12.75">
      <c r="A602" t="s">
        <v>1449</v>
      </c>
      <c r="B602" t="s">
        <v>1450</v>
      </c>
      <c r="C602" t="s">
        <v>1447</v>
      </c>
      <c r="D602" t="s">
        <v>1451</v>
      </c>
      <c r="F602" t="s">
        <v>1592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50000</v>
      </c>
      <c r="N602">
        <v>0</v>
      </c>
      <c r="O602">
        <v>1000</v>
      </c>
      <c r="P602">
        <v>95707</v>
      </c>
      <c r="Q602">
        <v>0</v>
      </c>
      <c r="R602">
        <v>0</v>
      </c>
      <c r="S602">
        <f t="shared" si="9"/>
        <v>95707</v>
      </c>
      <c r="T602">
        <v>0</v>
      </c>
      <c r="U602">
        <v>17015</v>
      </c>
      <c r="V602">
        <v>100</v>
      </c>
      <c r="W602">
        <v>163822</v>
      </c>
    </row>
    <row r="603" spans="1:23" ht="12.75">
      <c r="A603" t="s">
        <v>1452</v>
      </c>
      <c r="B603" t="s">
        <v>1453</v>
      </c>
      <c r="C603" t="s">
        <v>1447</v>
      </c>
      <c r="D603" t="s">
        <v>1454</v>
      </c>
      <c r="F603" t="s">
        <v>1592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3000</v>
      </c>
      <c r="N603">
        <v>0</v>
      </c>
      <c r="O603">
        <v>43</v>
      </c>
      <c r="P603">
        <v>11300</v>
      </c>
      <c r="Q603">
        <v>0</v>
      </c>
      <c r="R603">
        <v>0</v>
      </c>
      <c r="S603">
        <f t="shared" si="9"/>
        <v>11300</v>
      </c>
      <c r="T603">
        <v>0</v>
      </c>
      <c r="U603">
        <v>0</v>
      </c>
      <c r="V603">
        <v>0</v>
      </c>
      <c r="W603">
        <v>14343</v>
      </c>
    </row>
    <row r="604" spans="1:23" ht="12.75">
      <c r="A604" t="s">
        <v>1455</v>
      </c>
      <c r="B604" t="s">
        <v>1456</v>
      </c>
      <c r="C604" t="s">
        <v>1447</v>
      </c>
      <c r="D604" t="s">
        <v>1457</v>
      </c>
      <c r="F604" t="s">
        <v>1592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1775</v>
      </c>
      <c r="N604">
        <v>0</v>
      </c>
      <c r="O604">
        <v>9</v>
      </c>
      <c r="P604">
        <v>6420</v>
      </c>
      <c r="Q604">
        <v>0</v>
      </c>
      <c r="R604">
        <v>0</v>
      </c>
      <c r="S604">
        <f t="shared" si="9"/>
        <v>6420</v>
      </c>
      <c r="T604">
        <v>0</v>
      </c>
      <c r="U604">
        <v>0</v>
      </c>
      <c r="V604">
        <v>40</v>
      </c>
      <c r="W604">
        <v>8244</v>
      </c>
    </row>
    <row r="605" spans="1:23" ht="12.75">
      <c r="A605" t="s">
        <v>1458</v>
      </c>
      <c r="B605" t="s">
        <v>1459</v>
      </c>
      <c r="C605" t="s">
        <v>1428</v>
      </c>
      <c r="D605" t="s">
        <v>1460</v>
      </c>
      <c r="F605" t="s">
        <v>1592</v>
      </c>
      <c r="G605">
        <v>0</v>
      </c>
      <c r="H605">
        <v>0</v>
      </c>
      <c r="I605">
        <v>1.5579999999999998</v>
      </c>
      <c r="J605">
        <v>0</v>
      </c>
      <c r="K605">
        <v>43218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f t="shared" si="9"/>
        <v>0</v>
      </c>
      <c r="T605">
        <v>0</v>
      </c>
      <c r="U605">
        <v>0</v>
      </c>
      <c r="V605">
        <v>0</v>
      </c>
      <c r="W605">
        <v>43218</v>
      </c>
    </row>
    <row r="606" spans="1:23" ht="12.75">
      <c r="A606" t="s">
        <v>201</v>
      </c>
      <c r="B606" t="s">
        <v>202</v>
      </c>
      <c r="C606" t="s">
        <v>203</v>
      </c>
      <c r="D606" t="s">
        <v>204</v>
      </c>
      <c r="F606" t="s">
        <v>1592</v>
      </c>
      <c r="G606">
        <v>0</v>
      </c>
      <c r="H606">
        <v>0.925</v>
      </c>
      <c r="I606">
        <v>0</v>
      </c>
      <c r="J606">
        <v>0</v>
      </c>
      <c r="K606">
        <v>4626</v>
      </c>
      <c r="L606">
        <v>0</v>
      </c>
      <c r="M606">
        <v>0</v>
      </c>
      <c r="N606">
        <v>0</v>
      </c>
      <c r="O606">
        <v>0</v>
      </c>
      <c r="P606">
        <v>15000</v>
      </c>
      <c r="Q606">
        <v>3000</v>
      </c>
      <c r="R606">
        <v>7600</v>
      </c>
      <c r="S606">
        <f t="shared" si="9"/>
        <v>25600</v>
      </c>
      <c r="T606">
        <v>0</v>
      </c>
      <c r="U606">
        <v>0</v>
      </c>
      <c r="V606">
        <v>3000</v>
      </c>
      <c r="W606">
        <v>33226</v>
      </c>
    </row>
    <row r="607" spans="1:23" ht="12.75">
      <c r="A607" t="s">
        <v>205</v>
      </c>
      <c r="B607" t="s">
        <v>1762</v>
      </c>
      <c r="C607" t="s">
        <v>203</v>
      </c>
      <c r="D607" t="s">
        <v>206</v>
      </c>
      <c r="F607" t="s">
        <v>1592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820</v>
      </c>
      <c r="Q607">
        <v>61</v>
      </c>
      <c r="R607">
        <v>325</v>
      </c>
      <c r="S607">
        <f t="shared" si="9"/>
        <v>1206</v>
      </c>
      <c r="T607">
        <v>0</v>
      </c>
      <c r="U607">
        <v>0</v>
      </c>
      <c r="V607">
        <v>0</v>
      </c>
      <c r="W607">
        <v>1206</v>
      </c>
    </row>
    <row r="608" spans="1:23" ht="12.75">
      <c r="A608" t="s">
        <v>207</v>
      </c>
      <c r="B608" t="s">
        <v>208</v>
      </c>
      <c r="C608" t="s">
        <v>203</v>
      </c>
      <c r="D608" t="s">
        <v>209</v>
      </c>
      <c r="F608" t="s">
        <v>1592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5000</v>
      </c>
      <c r="N608">
        <v>0</v>
      </c>
      <c r="O608">
        <v>500</v>
      </c>
      <c r="P608">
        <v>23000</v>
      </c>
      <c r="Q608">
        <v>7500</v>
      </c>
      <c r="R608">
        <v>2500</v>
      </c>
      <c r="S608">
        <f t="shared" si="9"/>
        <v>33000</v>
      </c>
      <c r="T608">
        <v>0</v>
      </c>
      <c r="U608">
        <v>0</v>
      </c>
      <c r="V608">
        <v>10000</v>
      </c>
      <c r="W608">
        <v>48500</v>
      </c>
    </row>
    <row r="609" spans="1:23" ht="12.75">
      <c r="A609" t="s">
        <v>210</v>
      </c>
      <c r="B609" t="s">
        <v>1771</v>
      </c>
      <c r="C609" t="s">
        <v>203</v>
      </c>
      <c r="D609" t="s">
        <v>211</v>
      </c>
      <c r="F609" t="s">
        <v>1592</v>
      </c>
      <c r="G609">
        <v>0</v>
      </c>
      <c r="H609">
        <v>0.075</v>
      </c>
      <c r="I609">
        <v>0</v>
      </c>
      <c r="J609">
        <v>0</v>
      </c>
      <c r="K609">
        <v>374</v>
      </c>
      <c r="L609">
        <v>0</v>
      </c>
      <c r="M609">
        <v>0</v>
      </c>
      <c r="N609">
        <v>0</v>
      </c>
      <c r="O609">
        <v>0</v>
      </c>
      <c r="P609">
        <v>7000</v>
      </c>
      <c r="Q609">
        <v>0</v>
      </c>
      <c r="R609">
        <v>0</v>
      </c>
      <c r="S609">
        <f t="shared" si="9"/>
        <v>7000</v>
      </c>
      <c r="T609">
        <v>0</v>
      </c>
      <c r="U609">
        <v>0</v>
      </c>
      <c r="V609">
        <v>0</v>
      </c>
      <c r="W609">
        <v>7374</v>
      </c>
    </row>
    <row r="610" spans="1:23" ht="12.75">
      <c r="A610" t="s">
        <v>212</v>
      </c>
      <c r="B610" t="s">
        <v>213</v>
      </c>
      <c r="C610" t="s">
        <v>203</v>
      </c>
      <c r="D610" t="s">
        <v>214</v>
      </c>
      <c r="F610" t="s">
        <v>1592</v>
      </c>
      <c r="G610">
        <v>0</v>
      </c>
      <c r="H610">
        <v>0</v>
      </c>
      <c r="I610">
        <v>1</v>
      </c>
      <c r="J610">
        <v>0</v>
      </c>
      <c r="K610">
        <v>40740</v>
      </c>
      <c r="L610">
        <v>0</v>
      </c>
      <c r="M610">
        <v>10968</v>
      </c>
      <c r="N610">
        <v>0</v>
      </c>
      <c r="O610">
        <v>153</v>
      </c>
      <c r="P610">
        <v>4650</v>
      </c>
      <c r="Q610">
        <v>0</v>
      </c>
      <c r="R610">
        <v>0</v>
      </c>
      <c r="S610">
        <f t="shared" si="9"/>
        <v>4650</v>
      </c>
      <c r="T610">
        <v>0</v>
      </c>
      <c r="U610">
        <v>0</v>
      </c>
      <c r="V610">
        <v>251</v>
      </c>
      <c r="W610">
        <v>56762</v>
      </c>
    </row>
    <row r="611" spans="1:23" ht="12.75">
      <c r="A611" t="s">
        <v>215</v>
      </c>
      <c r="B611" t="s">
        <v>1774</v>
      </c>
      <c r="C611" t="s">
        <v>203</v>
      </c>
      <c r="D611" t="s">
        <v>216</v>
      </c>
      <c r="F611" t="s">
        <v>1592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10000</v>
      </c>
      <c r="Q611">
        <v>0</v>
      </c>
      <c r="R611">
        <v>0</v>
      </c>
      <c r="S611">
        <f t="shared" si="9"/>
        <v>10000</v>
      </c>
      <c r="T611">
        <v>0</v>
      </c>
      <c r="U611">
        <v>0</v>
      </c>
      <c r="V611">
        <v>0</v>
      </c>
      <c r="W611">
        <v>10000</v>
      </c>
    </row>
    <row r="612" spans="1:23" ht="12.75">
      <c r="A612" t="s">
        <v>217</v>
      </c>
      <c r="B612" t="s">
        <v>218</v>
      </c>
      <c r="C612" t="s">
        <v>203</v>
      </c>
      <c r="D612" t="s">
        <v>219</v>
      </c>
      <c r="F612" t="s">
        <v>1592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7000</v>
      </c>
      <c r="N612">
        <v>0</v>
      </c>
      <c r="O612">
        <v>1045</v>
      </c>
      <c r="P612">
        <v>16000</v>
      </c>
      <c r="Q612">
        <v>0</v>
      </c>
      <c r="R612">
        <v>0</v>
      </c>
      <c r="S612">
        <f t="shared" si="9"/>
        <v>16000</v>
      </c>
      <c r="T612">
        <v>0</v>
      </c>
      <c r="U612">
        <v>0</v>
      </c>
      <c r="V612">
        <v>1000</v>
      </c>
      <c r="W612">
        <v>25045</v>
      </c>
    </row>
    <row r="613" spans="1:23" ht="12.75">
      <c r="A613" t="s">
        <v>220</v>
      </c>
      <c r="B613" t="s">
        <v>1780</v>
      </c>
      <c r="C613" t="s">
        <v>203</v>
      </c>
      <c r="D613" t="s">
        <v>221</v>
      </c>
      <c r="F613" t="s">
        <v>1592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3000</v>
      </c>
      <c r="Q613">
        <v>0</v>
      </c>
      <c r="R613">
        <v>0</v>
      </c>
      <c r="S613">
        <f t="shared" si="9"/>
        <v>3000</v>
      </c>
      <c r="T613">
        <v>0</v>
      </c>
      <c r="U613">
        <v>0</v>
      </c>
      <c r="V613">
        <v>0</v>
      </c>
      <c r="W613">
        <v>3000</v>
      </c>
    </row>
    <row r="614" spans="1:23" ht="12.75">
      <c r="A614" t="s">
        <v>222</v>
      </c>
      <c r="B614" t="s">
        <v>223</v>
      </c>
      <c r="C614" t="s">
        <v>203</v>
      </c>
      <c r="D614" t="s">
        <v>224</v>
      </c>
      <c r="F614" t="s">
        <v>1592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1000</v>
      </c>
      <c r="Q614">
        <v>0</v>
      </c>
      <c r="R614">
        <v>0</v>
      </c>
      <c r="S614">
        <f t="shared" si="9"/>
        <v>1000</v>
      </c>
      <c r="T614">
        <v>0</v>
      </c>
      <c r="U614">
        <v>0</v>
      </c>
      <c r="V614">
        <v>700</v>
      </c>
      <c r="W614">
        <v>1700</v>
      </c>
    </row>
    <row r="615" spans="1:23" ht="12.75">
      <c r="A615" t="s">
        <v>225</v>
      </c>
      <c r="B615" t="s">
        <v>226</v>
      </c>
      <c r="C615" t="s">
        <v>203</v>
      </c>
      <c r="D615" t="s">
        <v>227</v>
      </c>
      <c r="F615" t="s">
        <v>1592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1000</v>
      </c>
      <c r="N615">
        <v>0</v>
      </c>
      <c r="O615">
        <v>0</v>
      </c>
      <c r="P615">
        <v>7300</v>
      </c>
      <c r="Q615">
        <v>0</v>
      </c>
      <c r="R615">
        <v>0</v>
      </c>
      <c r="S615">
        <f t="shared" si="9"/>
        <v>7300</v>
      </c>
      <c r="T615">
        <v>0</v>
      </c>
      <c r="U615">
        <v>0</v>
      </c>
      <c r="V615">
        <v>500</v>
      </c>
      <c r="W615">
        <v>8800</v>
      </c>
    </row>
    <row r="616" spans="1:23" ht="12.75">
      <c r="A616" t="s">
        <v>228</v>
      </c>
      <c r="B616" t="s">
        <v>229</v>
      </c>
      <c r="C616" t="s">
        <v>203</v>
      </c>
      <c r="D616" t="s">
        <v>230</v>
      </c>
      <c r="F616" t="s">
        <v>1592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2000</v>
      </c>
      <c r="N616">
        <v>0</v>
      </c>
      <c r="O616">
        <v>750</v>
      </c>
      <c r="P616">
        <v>2000</v>
      </c>
      <c r="Q616">
        <v>0</v>
      </c>
      <c r="R616">
        <v>0</v>
      </c>
      <c r="S616">
        <f t="shared" si="9"/>
        <v>2000</v>
      </c>
      <c r="T616">
        <v>0</v>
      </c>
      <c r="U616">
        <v>0</v>
      </c>
      <c r="V616">
        <v>2000</v>
      </c>
      <c r="W616">
        <v>6750</v>
      </c>
    </row>
    <row r="617" spans="1:23" ht="12.75">
      <c r="A617" t="s">
        <v>231</v>
      </c>
      <c r="B617" t="s">
        <v>232</v>
      </c>
      <c r="C617" t="s">
        <v>203</v>
      </c>
      <c r="D617" t="s">
        <v>233</v>
      </c>
      <c r="F617" t="s">
        <v>1592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600</v>
      </c>
      <c r="Q617">
        <v>0</v>
      </c>
      <c r="R617">
        <v>0</v>
      </c>
      <c r="S617">
        <f t="shared" si="9"/>
        <v>600</v>
      </c>
      <c r="T617">
        <v>0</v>
      </c>
      <c r="U617">
        <v>0</v>
      </c>
      <c r="V617">
        <v>200</v>
      </c>
      <c r="W617">
        <v>800</v>
      </c>
    </row>
    <row r="618" spans="1:23" ht="12.75">
      <c r="A618" t="s">
        <v>234</v>
      </c>
      <c r="B618" t="s">
        <v>235</v>
      </c>
      <c r="C618" t="s">
        <v>203</v>
      </c>
      <c r="D618" t="s">
        <v>236</v>
      </c>
      <c r="F618" t="s">
        <v>1592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5751</v>
      </c>
      <c r="N618">
        <v>0</v>
      </c>
      <c r="O618">
        <v>1933</v>
      </c>
      <c r="P618">
        <v>6329</v>
      </c>
      <c r="Q618">
        <v>0</v>
      </c>
      <c r="R618">
        <v>0</v>
      </c>
      <c r="S618">
        <f t="shared" si="9"/>
        <v>6329</v>
      </c>
      <c r="T618">
        <v>0</v>
      </c>
      <c r="U618">
        <v>0</v>
      </c>
      <c r="V618">
        <v>774</v>
      </c>
      <c r="W618">
        <v>14787</v>
      </c>
    </row>
    <row r="619" spans="1:23" ht="12.75">
      <c r="A619" t="s">
        <v>237</v>
      </c>
      <c r="B619" t="s">
        <v>238</v>
      </c>
      <c r="C619" t="s">
        <v>203</v>
      </c>
      <c r="D619" t="s">
        <v>239</v>
      </c>
      <c r="F619" t="s">
        <v>1592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3700</v>
      </c>
      <c r="Q619">
        <v>0</v>
      </c>
      <c r="R619">
        <v>0</v>
      </c>
      <c r="S619">
        <f t="shared" si="9"/>
        <v>3700</v>
      </c>
      <c r="T619">
        <v>0</v>
      </c>
      <c r="U619">
        <v>0</v>
      </c>
      <c r="V619">
        <v>0</v>
      </c>
      <c r="W619">
        <v>3700</v>
      </c>
    </row>
    <row r="620" spans="1:23" ht="12.75">
      <c r="A620" t="s">
        <v>240</v>
      </c>
      <c r="B620" t="s">
        <v>241</v>
      </c>
      <c r="C620" t="s">
        <v>203</v>
      </c>
      <c r="D620" t="s">
        <v>242</v>
      </c>
      <c r="F620" t="s">
        <v>1592</v>
      </c>
      <c r="G620">
        <v>0</v>
      </c>
      <c r="H620">
        <v>0</v>
      </c>
      <c r="I620">
        <v>0.325</v>
      </c>
      <c r="J620">
        <v>0</v>
      </c>
      <c r="K620">
        <v>6828</v>
      </c>
      <c r="L620">
        <v>0</v>
      </c>
      <c r="M620">
        <v>0</v>
      </c>
      <c r="N620">
        <v>0</v>
      </c>
      <c r="O620">
        <v>0</v>
      </c>
      <c r="P620">
        <v>12000</v>
      </c>
      <c r="Q620">
        <v>0</v>
      </c>
      <c r="R620">
        <v>0</v>
      </c>
      <c r="S620">
        <f t="shared" si="9"/>
        <v>12000</v>
      </c>
      <c r="T620">
        <v>0</v>
      </c>
      <c r="U620">
        <v>0</v>
      </c>
      <c r="V620">
        <v>0</v>
      </c>
      <c r="W620">
        <v>18828</v>
      </c>
    </row>
    <row r="621" spans="1:23" ht="12.75">
      <c r="A621" t="s">
        <v>243</v>
      </c>
      <c r="B621" t="s">
        <v>244</v>
      </c>
      <c r="C621" t="s">
        <v>203</v>
      </c>
      <c r="D621" t="s">
        <v>245</v>
      </c>
      <c r="F621" t="s">
        <v>1592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500</v>
      </c>
      <c r="N621">
        <v>0</v>
      </c>
      <c r="O621">
        <v>0</v>
      </c>
      <c r="P621">
        <v>2000</v>
      </c>
      <c r="Q621">
        <v>700</v>
      </c>
      <c r="R621">
        <v>2500</v>
      </c>
      <c r="S621">
        <f t="shared" si="9"/>
        <v>5200</v>
      </c>
      <c r="T621">
        <v>0</v>
      </c>
      <c r="U621">
        <v>0</v>
      </c>
      <c r="V621">
        <v>0</v>
      </c>
      <c r="W621">
        <v>5700</v>
      </c>
    </row>
    <row r="622" spans="1:23" ht="12.75">
      <c r="A622" t="s">
        <v>246</v>
      </c>
      <c r="B622" t="s">
        <v>247</v>
      </c>
      <c r="C622" t="s">
        <v>203</v>
      </c>
      <c r="D622" t="s">
        <v>248</v>
      </c>
      <c r="F622" t="s">
        <v>1592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2400</v>
      </c>
      <c r="S622">
        <f t="shared" si="9"/>
        <v>2400</v>
      </c>
      <c r="T622">
        <v>0</v>
      </c>
      <c r="U622">
        <v>0</v>
      </c>
      <c r="V622">
        <v>0</v>
      </c>
      <c r="W622">
        <v>2400</v>
      </c>
    </row>
    <row r="623" spans="1:23" ht="12.75">
      <c r="A623" t="s">
        <v>249</v>
      </c>
      <c r="B623" t="s">
        <v>250</v>
      </c>
      <c r="C623" t="s">
        <v>203</v>
      </c>
      <c r="D623" t="s">
        <v>251</v>
      </c>
      <c r="F623" t="s">
        <v>1592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926</v>
      </c>
      <c r="Q623">
        <v>865</v>
      </c>
      <c r="R623">
        <v>0</v>
      </c>
      <c r="S623">
        <f t="shared" si="9"/>
        <v>1791</v>
      </c>
      <c r="T623">
        <v>0</v>
      </c>
      <c r="U623">
        <v>0</v>
      </c>
      <c r="V623">
        <v>0</v>
      </c>
      <c r="W623">
        <v>1791</v>
      </c>
    </row>
    <row r="624" spans="1:23" ht="12.75">
      <c r="A624" t="s">
        <v>252</v>
      </c>
      <c r="B624" t="s">
        <v>253</v>
      </c>
      <c r="C624" t="s">
        <v>203</v>
      </c>
      <c r="D624" t="s">
        <v>254</v>
      </c>
      <c r="F624" t="s">
        <v>1592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6047</v>
      </c>
      <c r="O624">
        <v>0</v>
      </c>
      <c r="P624">
        <v>0</v>
      </c>
      <c r="Q624">
        <v>0</v>
      </c>
      <c r="R624">
        <v>0</v>
      </c>
      <c r="S624">
        <f t="shared" si="9"/>
        <v>0</v>
      </c>
      <c r="T624">
        <v>2920</v>
      </c>
      <c r="U624">
        <v>0</v>
      </c>
      <c r="V624">
        <v>0</v>
      </c>
      <c r="W624">
        <v>8967</v>
      </c>
    </row>
    <row r="625" spans="1:23" ht="12.75">
      <c r="A625" t="s">
        <v>255</v>
      </c>
      <c r="B625" t="s">
        <v>1934</v>
      </c>
      <c r="C625" t="s">
        <v>203</v>
      </c>
      <c r="D625" t="s">
        <v>256</v>
      </c>
      <c r="F625" t="s">
        <v>1592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7475</v>
      </c>
      <c r="N625">
        <v>0</v>
      </c>
      <c r="O625">
        <v>624</v>
      </c>
      <c r="P625">
        <v>7590</v>
      </c>
      <c r="Q625">
        <v>0</v>
      </c>
      <c r="R625">
        <v>0</v>
      </c>
      <c r="S625">
        <f t="shared" si="9"/>
        <v>7590</v>
      </c>
      <c r="T625">
        <v>0</v>
      </c>
      <c r="U625">
        <v>0</v>
      </c>
      <c r="V625">
        <v>230</v>
      </c>
      <c r="W625">
        <v>15919</v>
      </c>
    </row>
    <row r="626" spans="1:23" ht="12.75">
      <c r="A626" t="s">
        <v>257</v>
      </c>
      <c r="B626" t="s">
        <v>1947</v>
      </c>
      <c r="C626" t="s">
        <v>203</v>
      </c>
      <c r="D626" t="s">
        <v>258</v>
      </c>
      <c r="F626" t="s">
        <v>1592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1000</v>
      </c>
      <c r="Q626">
        <v>0</v>
      </c>
      <c r="R626">
        <v>0</v>
      </c>
      <c r="S626">
        <f t="shared" si="9"/>
        <v>1000</v>
      </c>
      <c r="T626">
        <v>0</v>
      </c>
      <c r="U626">
        <v>0</v>
      </c>
      <c r="V626">
        <v>3000</v>
      </c>
      <c r="W626">
        <v>4000</v>
      </c>
    </row>
    <row r="627" spans="1:23" ht="12.75">
      <c r="A627" t="s">
        <v>259</v>
      </c>
      <c r="B627" t="s">
        <v>1959</v>
      </c>
      <c r="C627" t="s">
        <v>203</v>
      </c>
      <c r="D627" t="s">
        <v>260</v>
      </c>
      <c r="F627" t="s">
        <v>1592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100</v>
      </c>
      <c r="Q627">
        <v>0</v>
      </c>
      <c r="R627">
        <v>0</v>
      </c>
      <c r="S627">
        <f t="shared" si="9"/>
        <v>100</v>
      </c>
      <c r="T627">
        <v>0</v>
      </c>
      <c r="U627">
        <v>0</v>
      </c>
      <c r="V627">
        <v>0</v>
      </c>
      <c r="W627">
        <v>100</v>
      </c>
    </row>
    <row r="628" spans="1:23" ht="12.75">
      <c r="A628" t="s">
        <v>261</v>
      </c>
      <c r="B628" t="s">
        <v>262</v>
      </c>
      <c r="C628" t="s">
        <v>203</v>
      </c>
      <c r="D628" t="s">
        <v>263</v>
      </c>
      <c r="F628" t="s">
        <v>1592</v>
      </c>
      <c r="G628">
        <v>0</v>
      </c>
      <c r="H628">
        <v>0</v>
      </c>
      <c r="I628">
        <v>0</v>
      </c>
      <c r="J628">
        <v>1</v>
      </c>
      <c r="K628">
        <v>30000</v>
      </c>
      <c r="L628">
        <v>0</v>
      </c>
      <c r="M628">
        <v>0</v>
      </c>
      <c r="N628">
        <v>0</v>
      </c>
      <c r="O628">
        <v>0</v>
      </c>
      <c r="P628">
        <v>9000</v>
      </c>
      <c r="Q628">
        <v>0</v>
      </c>
      <c r="R628">
        <v>0</v>
      </c>
      <c r="S628">
        <f t="shared" si="9"/>
        <v>9000</v>
      </c>
      <c r="T628">
        <v>0</v>
      </c>
      <c r="U628">
        <v>0</v>
      </c>
      <c r="V628">
        <v>0</v>
      </c>
      <c r="W628">
        <v>39000</v>
      </c>
    </row>
    <row r="629" spans="1:23" ht="12.75">
      <c r="A629" t="s">
        <v>264</v>
      </c>
      <c r="B629" t="s">
        <v>265</v>
      </c>
      <c r="C629" t="s">
        <v>203</v>
      </c>
      <c r="D629" t="s">
        <v>266</v>
      </c>
      <c r="F629" t="s">
        <v>1592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300</v>
      </c>
      <c r="Q629">
        <v>0</v>
      </c>
      <c r="R629">
        <v>0</v>
      </c>
      <c r="S629">
        <f t="shared" si="9"/>
        <v>300</v>
      </c>
      <c r="T629">
        <v>0</v>
      </c>
      <c r="U629">
        <v>0</v>
      </c>
      <c r="V629">
        <v>0</v>
      </c>
      <c r="W629">
        <v>300</v>
      </c>
    </row>
    <row r="630" spans="1:23" ht="12.75">
      <c r="A630" t="s">
        <v>267</v>
      </c>
      <c r="B630" t="s">
        <v>1825</v>
      </c>
      <c r="C630" t="s">
        <v>203</v>
      </c>
      <c r="D630" t="s">
        <v>268</v>
      </c>
      <c r="F630" t="s">
        <v>1592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7337</v>
      </c>
      <c r="Q630">
        <v>0</v>
      </c>
      <c r="R630">
        <v>0</v>
      </c>
      <c r="S630">
        <f t="shared" si="9"/>
        <v>7337</v>
      </c>
      <c r="T630">
        <v>0</v>
      </c>
      <c r="U630">
        <v>0</v>
      </c>
      <c r="V630">
        <v>0</v>
      </c>
      <c r="W630">
        <v>7337</v>
      </c>
    </row>
    <row r="631" spans="1:23" ht="12.75">
      <c r="A631" t="s">
        <v>269</v>
      </c>
      <c r="B631" t="s">
        <v>274</v>
      </c>
      <c r="C631" t="s">
        <v>203</v>
      </c>
      <c r="D631" t="s">
        <v>275</v>
      </c>
      <c r="F631" t="s">
        <v>1592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300</v>
      </c>
      <c r="N631">
        <v>0</v>
      </c>
      <c r="O631">
        <v>0</v>
      </c>
      <c r="P631">
        <v>200</v>
      </c>
      <c r="Q631">
        <v>0</v>
      </c>
      <c r="R631">
        <v>0</v>
      </c>
      <c r="S631">
        <f t="shared" si="9"/>
        <v>200</v>
      </c>
      <c r="T631">
        <v>0</v>
      </c>
      <c r="U631">
        <v>0</v>
      </c>
      <c r="V631">
        <v>0</v>
      </c>
      <c r="W631">
        <v>500</v>
      </c>
    </row>
    <row r="632" spans="1:23" ht="12.75">
      <c r="A632" t="s">
        <v>276</v>
      </c>
      <c r="B632" t="s">
        <v>1831</v>
      </c>
      <c r="C632" t="s">
        <v>203</v>
      </c>
      <c r="D632" t="s">
        <v>277</v>
      </c>
      <c r="F632" t="s">
        <v>1592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2000</v>
      </c>
      <c r="Q632">
        <v>0</v>
      </c>
      <c r="R632">
        <v>0</v>
      </c>
      <c r="S632">
        <f t="shared" si="9"/>
        <v>2000</v>
      </c>
      <c r="T632">
        <v>0</v>
      </c>
      <c r="U632">
        <v>0</v>
      </c>
      <c r="V632">
        <v>0</v>
      </c>
      <c r="W632">
        <v>2000</v>
      </c>
    </row>
    <row r="633" spans="1:23" ht="12.75">
      <c r="A633" t="s">
        <v>278</v>
      </c>
      <c r="B633" t="s">
        <v>3089</v>
      </c>
      <c r="C633" t="s">
        <v>203</v>
      </c>
      <c r="D633" t="s">
        <v>279</v>
      </c>
      <c r="F633" t="s">
        <v>1592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3100</v>
      </c>
      <c r="Q633">
        <v>3800</v>
      </c>
      <c r="R633">
        <v>4300</v>
      </c>
      <c r="S633">
        <f t="shared" si="9"/>
        <v>11200</v>
      </c>
      <c r="T633">
        <v>0</v>
      </c>
      <c r="U633">
        <v>0</v>
      </c>
      <c r="V633">
        <v>3100</v>
      </c>
      <c r="W633">
        <v>14300</v>
      </c>
    </row>
    <row r="634" spans="1:23" ht="12.75">
      <c r="A634" t="s">
        <v>280</v>
      </c>
      <c r="B634" t="s">
        <v>281</v>
      </c>
      <c r="C634" t="s">
        <v>203</v>
      </c>
      <c r="D634" t="s">
        <v>282</v>
      </c>
      <c r="F634" t="s">
        <v>1592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2500</v>
      </c>
      <c r="Q634">
        <v>0</v>
      </c>
      <c r="R634">
        <v>0</v>
      </c>
      <c r="S634">
        <f t="shared" si="9"/>
        <v>2500</v>
      </c>
      <c r="T634">
        <v>0</v>
      </c>
      <c r="U634">
        <v>0</v>
      </c>
      <c r="V634">
        <v>0</v>
      </c>
      <c r="W634">
        <v>2500</v>
      </c>
    </row>
    <row r="635" spans="1:23" ht="12.75">
      <c r="A635" t="s">
        <v>283</v>
      </c>
      <c r="B635" t="s">
        <v>284</v>
      </c>
      <c r="C635" t="s">
        <v>203</v>
      </c>
      <c r="D635" t="s">
        <v>285</v>
      </c>
      <c r="F635" t="s">
        <v>1592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200</v>
      </c>
      <c r="Q635">
        <v>0</v>
      </c>
      <c r="R635">
        <v>0</v>
      </c>
      <c r="S635">
        <f t="shared" si="9"/>
        <v>200</v>
      </c>
      <c r="T635">
        <v>0</v>
      </c>
      <c r="U635">
        <v>0</v>
      </c>
      <c r="V635">
        <v>0</v>
      </c>
      <c r="W635">
        <v>200</v>
      </c>
    </row>
    <row r="636" spans="1:23" ht="12.75">
      <c r="A636" t="s">
        <v>286</v>
      </c>
      <c r="B636" t="s">
        <v>287</v>
      </c>
      <c r="C636" t="s">
        <v>203</v>
      </c>
      <c r="D636" t="s">
        <v>288</v>
      </c>
      <c r="F636" t="s">
        <v>1592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3000</v>
      </c>
      <c r="Q636">
        <v>1000</v>
      </c>
      <c r="R636">
        <v>0</v>
      </c>
      <c r="S636">
        <f t="shared" si="9"/>
        <v>4000</v>
      </c>
      <c r="T636">
        <v>0</v>
      </c>
      <c r="U636">
        <v>0</v>
      </c>
      <c r="V636">
        <v>2000</v>
      </c>
      <c r="W636">
        <v>6000</v>
      </c>
    </row>
    <row r="637" spans="1:23" ht="12.75">
      <c r="A637" t="s">
        <v>289</v>
      </c>
      <c r="B637" t="s">
        <v>290</v>
      </c>
      <c r="C637" t="s">
        <v>203</v>
      </c>
      <c r="D637" t="s">
        <v>291</v>
      </c>
      <c r="F637" t="s">
        <v>1592</v>
      </c>
      <c r="G637">
        <v>0</v>
      </c>
      <c r="H637">
        <v>0</v>
      </c>
      <c r="I637">
        <v>6</v>
      </c>
      <c r="J637">
        <v>0</v>
      </c>
      <c r="K637">
        <v>129772</v>
      </c>
      <c r="L637">
        <v>0</v>
      </c>
      <c r="M637">
        <v>0</v>
      </c>
      <c r="N637">
        <v>0</v>
      </c>
      <c r="O637">
        <v>9746</v>
      </c>
      <c r="P637">
        <v>0</v>
      </c>
      <c r="Q637">
        <v>0</v>
      </c>
      <c r="R637">
        <v>0</v>
      </c>
      <c r="S637">
        <f t="shared" si="9"/>
        <v>0</v>
      </c>
      <c r="T637">
        <v>0</v>
      </c>
      <c r="U637">
        <v>0</v>
      </c>
      <c r="V637">
        <v>0</v>
      </c>
      <c r="W637">
        <v>139518</v>
      </c>
    </row>
    <row r="638" spans="1:23" ht="12.75">
      <c r="A638" t="s">
        <v>292</v>
      </c>
      <c r="B638" t="s">
        <v>293</v>
      </c>
      <c r="C638" t="s">
        <v>203</v>
      </c>
      <c r="D638" t="s">
        <v>294</v>
      </c>
      <c r="F638" t="s">
        <v>1592</v>
      </c>
      <c r="G638">
        <v>0</v>
      </c>
      <c r="H638">
        <v>0.705</v>
      </c>
      <c r="I638">
        <v>0</v>
      </c>
      <c r="J638">
        <v>2.6710000000000003</v>
      </c>
      <c r="K638">
        <v>107268</v>
      </c>
      <c r="L638">
        <v>0</v>
      </c>
      <c r="M638">
        <v>0</v>
      </c>
      <c r="N638">
        <v>0</v>
      </c>
      <c r="O638">
        <v>2734</v>
      </c>
      <c r="P638">
        <v>475574</v>
      </c>
      <c r="Q638">
        <v>0</v>
      </c>
      <c r="R638">
        <v>0</v>
      </c>
      <c r="S638">
        <f t="shared" si="9"/>
        <v>475574</v>
      </c>
      <c r="T638">
        <v>0</v>
      </c>
      <c r="U638">
        <v>0</v>
      </c>
      <c r="V638">
        <v>0</v>
      </c>
      <c r="W638">
        <v>585576</v>
      </c>
    </row>
    <row r="639" spans="1:23" ht="12.75">
      <c r="A639" t="s">
        <v>295</v>
      </c>
      <c r="B639" t="s">
        <v>296</v>
      </c>
      <c r="C639" t="s">
        <v>203</v>
      </c>
      <c r="D639" t="s">
        <v>297</v>
      </c>
      <c r="F639" t="s">
        <v>1592</v>
      </c>
      <c r="G639">
        <v>0</v>
      </c>
      <c r="H639">
        <v>0.105</v>
      </c>
      <c r="I639">
        <v>0</v>
      </c>
      <c r="J639">
        <v>0</v>
      </c>
      <c r="K639">
        <v>5004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f t="shared" si="9"/>
        <v>0</v>
      </c>
      <c r="T639">
        <v>0</v>
      </c>
      <c r="U639">
        <v>0</v>
      </c>
      <c r="V639">
        <v>0</v>
      </c>
      <c r="W639">
        <v>5004</v>
      </c>
    </row>
    <row r="640" spans="1:23" ht="12.75">
      <c r="A640" t="s">
        <v>524</v>
      </c>
      <c r="B640" t="s">
        <v>525</v>
      </c>
      <c r="C640" t="s">
        <v>526</v>
      </c>
      <c r="D640" t="s">
        <v>527</v>
      </c>
      <c r="F640" t="s">
        <v>1592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37000</v>
      </c>
      <c r="Q640">
        <v>0</v>
      </c>
      <c r="R640">
        <v>0</v>
      </c>
      <c r="S640">
        <f t="shared" si="9"/>
        <v>37000</v>
      </c>
      <c r="T640">
        <v>0</v>
      </c>
      <c r="U640">
        <v>0</v>
      </c>
      <c r="V640">
        <v>0</v>
      </c>
      <c r="W640">
        <v>37000</v>
      </c>
    </row>
    <row r="641" spans="1:23" ht="12.75">
      <c r="A641" t="s">
        <v>528</v>
      </c>
      <c r="B641" t="s">
        <v>2568</v>
      </c>
      <c r="C641" t="s">
        <v>526</v>
      </c>
      <c r="D641" t="s">
        <v>529</v>
      </c>
      <c r="F641" t="s">
        <v>1592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8500</v>
      </c>
      <c r="Q641">
        <v>0</v>
      </c>
      <c r="R641">
        <v>0</v>
      </c>
      <c r="S641">
        <f t="shared" si="9"/>
        <v>8500</v>
      </c>
      <c r="T641">
        <v>0</v>
      </c>
      <c r="U641">
        <v>0</v>
      </c>
      <c r="V641">
        <v>0</v>
      </c>
      <c r="W641">
        <v>8500</v>
      </c>
    </row>
    <row r="642" spans="1:23" ht="12.75">
      <c r="A642" t="s">
        <v>530</v>
      </c>
      <c r="B642" t="s">
        <v>531</v>
      </c>
      <c r="C642" t="s">
        <v>526</v>
      </c>
      <c r="D642" t="s">
        <v>532</v>
      </c>
      <c r="F642" t="s">
        <v>1592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100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f t="shared" si="9"/>
        <v>0</v>
      </c>
      <c r="T642">
        <v>0</v>
      </c>
      <c r="U642">
        <v>0</v>
      </c>
      <c r="V642">
        <v>0</v>
      </c>
      <c r="W642">
        <v>100</v>
      </c>
    </row>
    <row r="643" spans="1:23" ht="12.75">
      <c r="A643" t="s">
        <v>533</v>
      </c>
      <c r="B643" t="s">
        <v>534</v>
      </c>
      <c r="C643" t="s">
        <v>526</v>
      </c>
      <c r="D643" t="s">
        <v>535</v>
      </c>
      <c r="F643" t="s">
        <v>1592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335</v>
      </c>
      <c r="Q643">
        <v>0</v>
      </c>
      <c r="R643">
        <v>0</v>
      </c>
      <c r="S643">
        <f t="shared" si="9"/>
        <v>335</v>
      </c>
      <c r="T643">
        <v>0</v>
      </c>
      <c r="U643">
        <v>0</v>
      </c>
      <c r="V643">
        <v>0</v>
      </c>
      <c r="W643">
        <v>335</v>
      </c>
    </row>
    <row r="644" spans="1:23" ht="12.75">
      <c r="A644" t="s">
        <v>536</v>
      </c>
      <c r="B644" t="s">
        <v>537</v>
      </c>
      <c r="C644" t="s">
        <v>526</v>
      </c>
      <c r="D644" t="s">
        <v>538</v>
      </c>
      <c r="F644" t="s">
        <v>1592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f t="shared" si="9"/>
        <v>0</v>
      </c>
      <c r="T644">
        <v>0</v>
      </c>
      <c r="U644">
        <v>2000</v>
      </c>
      <c r="V644">
        <v>0</v>
      </c>
      <c r="W644">
        <v>2000</v>
      </c>
    </row>
    <row r="645" spans="1:23" ht="12.75">
      <c r="A645" t="s">
        <v>539</v>
      </c>
      <c r="B645" t="s">
        <v>540</v>
      </c>
      <c r="C645" t="s">
        <v>526</v>
      </c>
      <c r="D645" t="s">
        <v>541</v>
      </c>
      <c r="F645" t="s">
        <v>1592</v>
      </c>
      <c r="G645">
        <v>0</v>
      </c>
      <c r="H645">
        <v>0</v>
      </c>
      <c r="I645">
        <v>1</v>
      </c>
      <c r="J645">
        <v>0</v>
      </c>
      <c r="K645">
        <v>18180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f t="shared" si="9"/>
        <v>0</v>
      </c>
      <c r="T645">
        <v>0</v>
      </c>
      <c r="U645">
        <v>0</v>
      </c>
      <c r="V645">
        <v>0</v>
      </c>
      <c r="W645">
        <v>18180</v>
      </c>
    </row>
    <row r="646" spans="1:23" ht="12.75">
      <c r="A646" t="s">
        <v>542</v>
      </c>
      <c r="B646" t="s">
        <v>543</v>
      </c>
      <c r="C646" t="s">
        <v>526</v>
      </c>
      <c r="D646" t="s">
        <v>544</v>
      </c>
      <c r="F646" t="s">
        <v>1592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f t="shared" si="9"/>
        <v>0</v>
      </c>
      <c r="T646">
        <v>100</v>
      </c>
      <c r="U646">
        <v>0</v>
      </c>
      <c r="V646">
        <v>0</v>
      </c>
      <c r="W646">
        <v>100</v>
      </c>
    </row>
    <row r="647" spans="1:23" ht="12.75">
      <c r="A647" t="s">
        <v>1463</v>
      </c>
      <c r="B647" t="s">
        <v>1464</v>
      </c>
      <c r="C647" t="s">
        <v>526</v>
      </c>
      <c r="D647" t="s">
        <v>1465</v>
      </c>
      <c r="F647" t="s">
        <v>1592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f t="shared" si="9"/>
        <v>0</v>
      </c>
      <c r="T647">
        <v>0</v>
      </c>
      <c r="U647">
        <v>381000</v>
      </c>
      <c r="V647">
        <v>0</v>
      </c>
      <c r="W647">
        <v>381000</v>
      </c>
    </row>
    <row r="648" spans="1:23" ht="12.75">
      <c r="A648" t="s">
        <v>545</v>
      </c>
      <c r="B648" t="s">
        <v>546</v>
      </c>
      <c r="C648" t="s">
        <v>526</v>
      </c>
      <c r="D648" t="s">
        <v>547</v>
      </c>
      <c r="F648" t="s">
        <v>1592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800</v>
      </c>
      <c r="N648">
        <v>0</v>
      </c>
      <c r="O648">
        <v>0</v>
      </c>
      <c r="P648">
        <v>2000</v>
      </c>
      <c r="Q648">
        <v>4500</v>
      </c>
      <c r="R648">
        <v>200</v>
      </c>
      <c r="S648">
        <f t="shared" si="9"/>
        <v>6700</v>
      </c>
      <c r="T648">
        <v>0</v>
      </c>
      <c r="U648">
        <v>0</v>
      </c>
      <c r="V648">
        <v>600</v>
      </c>
      <c r="W648">
        <v>8100</v>
      </c>
    </row>
    <row r="649" spans="1:23" ht="12.75">
      <c r="A649" t="s">
        <v>548</v>
      </c>
      <c r="B649" t="s">
        <v>1736</v>
      </c>
      <c r="C649" t="s">
        <v>526</v>
      </c>
      <c r="D649" t="s">
        <v>549</v>
      </c>
      <c r="F649" t="s">
        <v>1592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200</v>
      </c>
      <c r="N649">
        <v>0</v>
      </c>
      <c r="O649">
        <v>0</v>
      </c>
      <c r="P649">
        <v>0</v>
      </c>
      <c r="Q649">
        <v>700</v>
      </c>
      <c r="R649">
        <v>750</v>
      </c>
      <c r="S649">
        <f t="shared" si="9"/>
        <v>1450</v>
      </c>
      <c r="T649">
        <v>0</v>
      </c>
      <c r="U649">
        <v>0</v>
      </c>
      <c r="V649">
        <v>0</v>
      </c>
      <c r="W649">
        <v>1650</v>
      </c>
    </row>
    <row r="650" spans="1:23" ht="12.75">
      <c r="A650" t="s">
        <v>550</v>
      </c>
      <c r="B650" t="s">
        <v>1742</v>
      </c>
      <c r="C650" t="s">
        <v>526</v>
      </c>
      <c r="D650" t="s">
        <v>551</v>
      </c>
      <c r="F650" t="s">
        <v>1592</v>
      </c>
      <c r="G650">
        <v>0</v>
      </c>
      <c r="H650">
        <v>0</v>
      </c>
      <c r="I650">
        <v>1.2</v>
      </c>
      <c r="J650">
        <v>2</v>
      </c>
      <c r="K650">
        <v>105948</v>
      </c>
      <c r="L650">
        <v>0</v>
      </c>
      <c r="M650">
        <v>42000</v>
      </c>
      <c r="N650">
        <v>20000</v>
      </c>
      <c r="O650">
        <v>5738</v>
      </c>
      <c r="P650">
        <v>70000</v>
      </c>
      <c r="Q650">
        <v>37000</v>
      </c>
      <c r="R650">
        <v>30000</v>
      </c>
      <c r="S650">
        <f t="shared" si="9"/>
        <v>137000</v>
      </c>
      <c r="T650">
        <v>5000</v>
      </c>
      <c r="U650">
        <v>2000</v>
      </c>
      <c r="V650">
        <v>7500</v>
      </c>
      <c r="W650">
        <v>325186</v>
      </c>
    </row>
    <row r="651" spans="1:23" ht="12.75">
      <c r="A651" t="s">
        <v>552</v>
      </c>
      <c r="B651" t="s">
        <v>553</v>
      </c>
      <c r="C651" t="s">
        <v>526</v>
      </c>
      <c r="D651" t="s">
        <v>554</v>
      </c>
      <c r="F651" t="s">
        <v>1592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1500</v>
      </c>
      <c r="N651">
        <v>0</v>
      </c>
      <c r="O651">
        <v>0</v>
      </c>
      <c r="P651">
        <v>200</v>
      </c>
      <c r="Q651">
        <v>750</v>
      </c>
      <c r="R651">
        <v>0</v>
      </c>
      <c r="S651">
        <f aca="true" t="shared" si="10" ref="S651:S714">SUM(P651:R651)</f>
        <v>950</v>
      </c>
      <c r="T651">
        <v>0</v>
      </c>
      <c r="U651">
        <v>0</v>
      </c>
      <c r="V651">
        <v>15</v>
      </c>
      <c r="W651">
        <v>2465</v>
      </c>
    </row>
    <row r="652" spans="1:23" ht="12.75">
      <c r="A652" t="s">
        <v>555</v>
      </c>
      <c r="B652" t="s">
        <v>1762</v>
      </c>
      <c r="C652" t="s">
        <v>526</v>
      </c>
      <c r="D652" t="s">
        <v>556</v>
      </c>
      <c r="F652" t="s">
        <v>1592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7000</v>
      </c>
      <c r="Q652">
        <v>0</v>
      </c>
      <c r="R652">
        <v>0</v>
      </c>
      <c r="S652">
        <f t="shared" si="10"/>
        <v>7000</v>
      </c>
      <c r="T652">
        <v>0</v>
      </c>
      <c r="U652">
        <v>0</v>
      </c>
      <c r="V652">
        <v>0</v>
      </c>
      <c r="W652">
        <v>7000</v>
      </c>
    </row>
    <row r="653" spans="1:23" ht="12.75">
      <c r="A653" t="s">
        <v>557</v>
      </c>
      <c r="B653" t="s">
        <v>1774</v>
      </c>
      <c r="C653" t="s">
        <v>526</v>
      </c>
      <c r="D653" t="s">
        <v>558</v>
      </c>
      <c r="F653" t="s">
        <v>1592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24000</v>
      </c>
      <c r="Q653">
        <v>0</v>
      </c>
      <c r="R653">
        <v>0</v>
      </c>
      <c r="S653">
        <f t="shared" si="10"/>
        <v>24000</v>
      </c>
      <c r="T653">
        <v>0</v>
      </c>
      <c r="U653">
        <v>0</v>
      </c>
      <c r="V653">
        <v>0</v>
      </c>
      <c r="W653">
        <v>24000</v>
      </c>
    </row>
    <row r="654" spans="1:23" ht="12.75">
      <c r="A654" t="s">
        <v>559</v>
      </c>
      <c r="B654" t="s">
        <v>560</v>
      </c>
      <c r="C654" t="s">
        <v>526</v>
      </c>
      <c r="D654" t="s">
        <v>561</v>
      </c>
      <c r="F654" t="s">
        <v>1592</v>
      </c>
      <c r="G654">
        <v>0</v>
      </c>
      <c r="H654">
        <v>0</v>
      </c>
      <c r="I654">
        <v>0.385</v>
      </c>
      <c r="J654">
        <v>0</v>
      </c>
      <c r="K654">
        <v>11848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f t="shared" si="10"/>
        <v>0</v>
      </c>
      <c r="T654">
        <v>0</v>
      </c>
      <c r="U654">
        <v>0</v>
      </c>
      <c r="V654">
        <v>0</v>
      </c>
      <c r="W654">
        <v>11848</v>
      </c>
    </row>
    <row r="655" spans="1:23" ht="12.75">
      <c r="A655" t="s">
        <v>562</v>
      </c>
      <c r="B655" t="s">
        <v>563</v>
      </c>
      <c r="C655" t="s">
        <v>526</v>
      </c>
      <c r="D655" t="s">
        <v>564</v>
      </c>
      <c r="F655" t="s">
        <v>1592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3000</v>
      </c>
      <c r="Q655">
        <v>0</v>
      </c>
      <c r="R655">
        <v>0</v>
      </c>
      <c r="S655">
        <f t="shared" si="10"/>
        <v>3000</v>
      </c>
      <c r="T655">
        <v>0</v>
      </c>
      <c r="U655">
        <v>0</v>
      </c>
      <c r="V655">
        <v>0</v>
      </c>
      <c r="W655">
        <v>3000</v>
      </c>
    </row>
    <row r="656" spans="1:23" ht="12.75">
      <c r="A656" t="s">
        <v>565</v>
      </c>
      <c r="B656" t="s">
        <v>241</v>
      </c>
      <c r="C656" t="s">
        <v>526</v>
      </c>
      <c r="D656" t="s">
        <v>566</v>
      </c>
      <c r="F656" t="s">
        <v>1592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27000</v>
      </c>
      <c r="Q656">
        <v>0</v>
      </c>
      <c r="R656">
        <v>0</v>
      </c>
      <c r="S656">
        <f t="shared" si="10"/>
        <v>27000</v>
      </c>
      <c r="T656">
        <v>0</v>
      </c>
      <c r="U656">
        <v>0</v>
      </c>
      <c r="V656">
        <v>0</v>
      </c>
      <c r="W656">
        <v>27000</v>
      </c>
    </row>
    <row r="657" spans="1:23" ht="12.75">
      <c r="A657" t="s">
        <v>567</v>
      </c>
      <c r="B657" t="s">
        <v>1801</v>
      </c>
      <c r="C657" t="s">
        <v>526</v>
      </c>
      <c r="D657" t="s">
        <v>568</v>
      </c>
      <c r="F657" t="s">
        <v>1592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3000</v>
      </c>
      <c r="Q657">
        <v>0</v>
      </c>
      <c r="R657">
        <v>0</v>
      </c>
      <c r="S657">
        <f t="shared" si="10"/>
        <v>3000</v>
      </c>
      <c r="T657">
        <v>0</v>
      </c>
      <c r="U657">
        <v>0</v>
      </c>
      <c r="V657">
        <v>0</v>
      </c>
      <c r="W657">
        <v>3000</v>
      </c>
    </row>
    <row r="658" spans="1:23" ht="12.75">
      <c r="A658" t="s">
        <v>569</v>
      </c>
      <c r="B658" t="s">
        <v>1810</v>
      </c>
      <c r="C658" t="s">
        <v>526</v>
      </c>
      <c r="D658" t="s">
        <v>570</v>
      </c>
      <c r="F658" t="s">
        <v>1592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10000</v>
      </c>
      <c r="Q658">
        <v>0</v>
      </c>
      <c r="R658">
        <v>0</v>
      </c>
      <c r="S658">
        <f t="shared" si="10"/>
        <v>10000</v>
      </c>
      <c r="T658">
        <v>0</v>
      </c>
      <c r="U658">
        <v>0</v>
      </c>
      <c r="V658">
        <v>0</v>
      </c>
      <c r="W658">
        <v>10000</v>
      </c>
    </row>
    <row r="659" spans="1:23" ht="12.75">
      <c r="A659" t="s">
        <v>571</v>
      </c>
      <c r="B659" t="s">
        <v>1828</v>
      </c>
      <c r="C659" t="s">
        <v>526</v>
      </c>
      <c r="D659" t="s">
        <v>572</v>
      </c>
      <c r="F659" t="s">
        <v>1592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12000</v>
      </c>
      <c r="Q659">
        <v>0</v>
      </c>
      <c r="R659">
        <v>0</v>
      </c>
      <c r="S659">
        <f t="shared" si="10"/>
        <v>12000</v>
      </c>
      <c r="T659">
        <v>0</v>
      </c>
      <c r="U659">
        <v>0</v>
      </c>
      <c r="V659">
        <v>0</v>
      </c>
      <c r="W659">
        <v>12000</v>
      </c>
    </row>
    <row r="660" spans="1:23" ht="12.75">
      <c r="A660" t="s">
        <v>573</v>
      </c>
      <c r="B660" t="s">
        <v>574</v>
      </c>
      <c r="C660" t="s">
        <v>526</v>
      </c>
      <c r="D660" t="s">
        <v>575</v>
      </c>
      <c r="F660" t="s">
        <v>1592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5500</v>
      </c>
      <c r="Q660">
        <v>0</v>
      </c>
      <c r="R660">
        <v>0</v>
      </c>
      <c r="S660">
        <f t="shared" si="10"/>
        <v>5500</v>
      </c>
      <c r="T660">
        <v>0</v>
      </c>
      <c r="U660">
        <v>0</v>
      </c>
      <c r="V660">
        <v>0</v>
      </c>
      <c r="W660">
        <v>5500</v>
      </c>
    </row>
    <row r="661" spans="1:23" ht="12.75">
      <c r="A661" t="s">
        <v>576</v>
      </c>
      <c r="B661" t="s">
        <v>577</v>
      </c>
      <c r="C661" t="s">
        <v>526</v>
      </c>
      <c r="D661" t="s">
        <v>578</v>
      </c>
      <c r="F661" t="s">
        <v>1592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3000</v>
      </c>
      <c r="N661">
        <v>0</v>
      </c>
      <c r="O661">
        <v>0</v>
      </c>
      <c r="P661">
        <v>2000</v>
      </c>
      <c r="Q661">
        <v>1000</v>
      </c>
      <c r="R661">
        <v>0</v>
      </c>
      <c r="S661">
        <f t="shared" si="10"/>
        <v>3000</v>
      </c>
      <c r="T661">
        <v>3000</v>
      </c>
      <c r="U661">
        <v>0</v>
      </c>
      <c r="V661">
        <v>3000</v>
      </c>
      <c r="W661">
        <v>12000</v>
      </c>
    </row>
    <row r="662" spans="1:23" ht="12.75">
      <c r="A662" t="s">
        <v>579</v>
      </c>
      <c r="B662" t="s">
        <v>580</v>
      </c>
      <c r="C662" t="s">
        <v>526</v>
      </c>
      <c r="D662" t="s">
        <v>581</v>
      </c>
      <c r="F662" t="s">
        <v>1592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50</v>
      </c>
      <c r="Q662">
        <v>0</v>
      </c>
      <c r="R662">
        <v>0</v>
      </c>
      <c r="S662">
        <f t="shared" si="10"/>
        <v>50</v>
      </c>
      <c r="T662">
        <v>0</v>
      </c>
      <c r="U662">
        <v>0</v>
      </c>
      <c r="V662">
        <v>0</v>
      </c>
      <c r="W662">
        <v>50</v>
      </c>
    </row>
    <row r="663" spans="1:23" ht="12.75">
      <c r="A663" t="s">
        <v>582</v>
      </c>
      <c r="B663" t="s">
        <v>583</v>
      </c>
      <c r="C663" t="s">
        <v>526</v>
      </c>
      <c r="D663" t="s">
        <v>584</v>
      </c>
      <c r="F663" t="s">
        <v>1592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750</v>
      </c>
      <c r="Q663">
        <v>0</v>
      </c>
      <c r="R663">
        <v>0</v>
      </c>
      <c r="S663">
        <f t="shared" si="10"/>
        <v>750</v>
      </c>
      <c r="T663">
        <v>0</v>
      </c>
      <c r="U663">
        <v>0</v>
      </c>
      <c r="V663">
        <v>0</v>
      </c>
      <c r="W663">
        <v>750</v>
      </c>
    </row>
    <row r="664" spans="1:23" ht="12.75">
      <c r="A664" t="s">
        <v>585</v>
      </c>
      <c r="B664" t="s">
        <v>586</v>
      </c>
      <c r="C664" t="s">
        <v>526</v>
      </c>
      <c r="D664" t="s">
        <v>587</v>
      </c>
      <c r="F664" t="s">
        <v>1592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95</v>
      </c>
      <c r="Q664">
        <v>0</v>
      </c>
      <c r="R664">
        <v>0</v>
      </c>
      <c r="S664">
        <f t="shared" si="10"/>
        <v>95</v>
      </c>
      <c r="T664">
        <v>0</v>
      </c>
      <c r="U664">
        <v>0</v>
      </c>
      <c r="V664">
        <v>0</v>
      </c>
      <c r="W664">
        <v>95</v>
      </c>
    </row>
    <row r="665" spans="1:23" ht="12.75">
      <c r="A665" t="s">
        <v>588</v>
      </c>
      <c r="B665" t="s">
        <v>589</v>
      </c>
      <c r="C665" t="s">
        <v>526</v>
      </c>
      <c r="D665" t="s">
        <v>590</v>
      </c>
      <c r="F665" t="s">
        <v>1592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10</v>
      </c>
      <c r="Q665">
        <v>0</v>
      </c>
      <c r="R665">
        <v>0</v>
      </c>
      <c r="S665">
        <f t="shared" si="10"/>
        <v>10</v>
      </c>
      <c r="T665">
        <v>0</v>
      </c>
      <c r="U665">
        <v>0</v>
      </c>
      <c r="V665">
        <v>0</v>
      </c>
      <c r="W665">
        <v>10</v>
      </c>
    </row>
    <row r="666" spans="1:23" ht="12.75">
      <c r="A666" t="s">
        <v>591</v>
      </c>
      <c r="B666" t="s">
        <v>592</v>
      </c>
      <c r="C666" t="s">
        <v>526</v>
      </c>
      <c r="D666" t="s">
        <v>593</v>
      </c>
      <c r="F666" t="s">
        <v>1592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400</v>
      </c>
      <c r="Q666">
        <v>0</v>
      </c>
      <c r="R666">
        <v>0</v>
      </c>
      <c r="S666">
        <f t="shared" si="10"/>
        <v>400</v>
      </c>
      <c r="T666">
        <v>0</v>
      </c>
      <c r="U666">
        <v>0</v>
      </c>
      <c r="V666">
        <v>200</v>
      </c>
      <c r="W666">
        <v>600</v>
      </c>
    </row>
    <row r="667" spans="1:23" ht="12.75">
      <c r="A667" t="s">
        <v>594</v>
      </c>
      <c r="B667" t="s">
        <v>284</v>
      </c>
      <c r="C667" t="s">
        <v>526</v>
      </c>
      <c r="D667" t="s">
        <v>595</v>
      </c>
      <c r="F667" t="s">
        <v>1592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1000</v>
      </c>
      <c r="Q667">
        <v>0</v>
      </c>
      <c r="R667">
        <v>0</v>
      </c>
      <c r="S667">
        <f t="shared" si="10"/>
        <v>1000</v>
      </c>
      <c r="T667">
        <v>0</v>
      </c>
      <c r="U667">
        <v>0</v>
      </c>
      <c r="V667">
        <v>0</v>
      </c>
      <c r="W667">
        <v>1000</v>
      </c>
    </row>
    <row r="668" spans="1:23" ht="12.75">
      <c r="A668" t="s">
        <v>596</v>
      </c>
      <c r="B668" t="s">
        <v>672</v>
      </c>
      <c r="C668" t="s">
        <v>526</v>
      </c>
      <c r="D668" t="s">
        <v>673</v>
      </c>
      <c r="F668" t="s">
        <v>1592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833</v>
      </c>
      <c r="S668">
        <f t="shared" si="10"/>
        <v>833</v>
      </c>
      <c r="T668">
        <v>0</v>
      </c>
      <c r="U668">
        <v>0</v>
      </c>
      <c r="V668">
        <v>0</v>
      </c>
      <c r="W668">
        <v>833</v>
      </c>
    </row>
    <row r="669" spans="1:23" ht="12.75">
      <c r="A669" t="s">
        <v>674</v>
      </c>
      <c r="B669" t="s">
        <v>675</v>
      </c>
      <c r="C669" t="s">
        <v>526</v>
      </c>
      <c r="D669" t="s">
        <v>676</v>
      </c>
      <c r="F669" t="s">
        <v>1592</v>
      </c>
      <c r="G669">
        <v>0</v>
      </c>
      <c r="H669">
        <v>0</v>
      </c>
      <c r="I669">
        <v>2</v>
      </c>
      <c r="J669">
        <v>0</v>
      </c>
      <c r="K669">
        <v>37952</v>
      </c>
      <c r="L669">
        <v>0</v>
      </c>
      <c r="M669">
        <v>28968</v>
      </c>
      <c r="N669">
        <v>1400</v>
      </c>
      <c r="O669">
        <v>780</v>
      </c>
      <c r="P669">
        <v>33504</v>
      </c>
      <c r="Q669">
        <v>0</v>
      </c>
      <c r="R669">
        <v>0</v>
      </c>
      <c r="S669">
        <f t="shared" si="10"/>
        <v>33504</v>
      </c>
      <c r="T669">
        <v>0</v>
      </c>
      <c r="U669">
        <v>0</v>
      </c>
      <c r="V669">
        <v>4082</v>
      </c>
      <c r="W669">
        <v>106686</v>
      </c>
    </row>
    <row r="670" spans="1:23" ht="12.75">
      <c r="A670" t="s">
        <v>677</v>
      </c>
      <c r="B670" t="s">
        <v>678</v>
      </c>
      <c r="C670" t="s">
        <v>526</v>
      </c>
      <c r="D670" t="s">
        <v>679</v>
      </c>
      <c r="F670" t="s">
        <v>1592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10000</v>
      </c>
      <c r="N670">
        <v>5000</v>
      </c>
      <c r="O670">
        <v>105</v>
      </c>
      <c r="P670">
        <v>50000</v>
      </c>
      <c r="Q670">
        <v>0</v>
      </c>
      <c r="R670">
        <v>0</v>
      </c>
      <c r="S670">
        <f t="shared" si="10"/>
        <v>50000</v>
      </c>
      <c r="T670">
        <v>5000</v>
      </c>
      <c r="U670">
        <v>0</v>
      </c>
      <c r="V670">
        <v>3000</v>
      </c>
      <c r="W670">
        <v>73105</v>
      </c>
    </row>
    <row r="671" spans="1:23" ht="12.75">
      <c r="A671" t="s">
        <v>680</v>
      </c>
      <c r="B671" t="s">
        <v>1928</v>
      </c>
      <c r="C671" t="s">
        <v>526</v>
      </c>
      <c r="D671" t="s">
        <v>681</v>
      </c>
      <c r="F671" t="s">
        <v>1592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f t="shared" si="10"/>
        <v>0</v>
      </c>
      <c r="T671">
        <v>1750</v>
      </c>
      <c r="U671">
        <v>0</v>
      </c>
      <c r="V671">
        <v>300</v>
      </c>
      <c r="W671">
        <v>2050</v>
      </c>
    </row>
    <row r="672" spans="1:23" ht="12.75">
      <c r="A672" t="s">
        <v>682</v>
      </c>
      <c r="B672" t="s">
        <v>683</v>
      </c>
      <c r="C672" t="s">
        <v>526</v>
      </c>
      <c r="D672" t="s">
        <v>684</v>
      </c>
      <c r="F672" t="s">
        <v>1592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f t="shared" si="10"/>
        <v>0</v>
      </c>
      <c r="T672">
        <v>1000</v>
      </c>
      <c r="U672">
        <v>0</v>
      </c>
      <c r="V672">
        <v>0</v>
      </c>
      <c r="W672">
        <v>1000</v>
      </c>
    </row>
    <row r="673" spans="1:23" ht="12.75">
      <c r="A673" t="s">
        <v>685</v>
      </c>
      <c r="B673" t="s">
        <v>686</v>
      </c>
      <c r="C673" t="s">
        <v>526</v>
      </c>
      <c r="D673" t="s">
        <v>687</v>
      </c>
      <c r="F673" t="s">
        <v>1592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100</v>
      </c>
      <c r="Q673">
        <v>100</v>
      </c>
      <c r="R673">
        <v>0</v>
      </c>
      <c r="S673">
        <f t="shared" si="10"/>
        <v>200</v>
      </c>
      <c r="T673">
        <v>0</v>
      </c>
      <c r="U673">
        <v>0</v>
      </c>
      <c r="V673">
        <v>0</v>
      </c>
      <c r="W673">
        <v>200</v>
      </c>
    </row>
    <row r="674" spans="1:23" ht="12.75">
      <c r="A674" t="s">
        <v>688</v>
      </c>
      <c r="B674" t="s">
        <v>1947</v>
      </c>
      <c r="C674" t="s">
        <v>526</v>
      </c>
      <c r="D674" t="s">
        <v>689</v>
      </c>
      <c r="F674" t="s">
        <v>1592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500</v>
      </c>
      <c r="Q674">
        <v>1900</v>
      </c>
      <c r="R674">
        <v>3500</v>
      </c>
      <c r="S674">
        <f t="shared" si="10"/>
        <v>5900</v>
      </c>
      <c r="T674">
        <v>0</v>
      </c>
      <c r="U674">
        <v>0</v>
      </c>
      <c r="V674">
        <v>0</v>
      </c>
      <c r="W674">
        <v>5900</v>
      </c>
    </row>
    <row r="675" spans="1:23" ht="12.75">
      <c r="A675" t="s">
        <v>690</v>
      </c>
      <c r="B675" t="s">
        <v>1959</v>
      </c>
      <c r="C675" t="s">
        <v>526</v>
      </c>
      <c r="D675" t="s">
        <v>691</v>
      </c>
      <c r="F675" t="s">
        <v>1592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3000</v>
      </c>
      <c r="Q675">
        <v>6000</v>
      </c>
      <c r="R675">
        <v>0</v>
      </c>
      <c r="S675">
        <f t="shared" si="10"/>
        <v>9000</v>
      </c>
      <c r="T675">
        <v>0</v>
      </c>
      <c r="U675">
        <v>0</v>
      </c>
      <c r="V675">
        <v>0</v>
      </c>
      <c r="W675">
        <v>9000</v>
      </c>
    </row>
    <row r="676" spans="1:23" ht="12.75">
      <c r="A676" t="s">
        <v>692</v>
      </c>
      <c r="B676" t="s">
        <v>693</v>
      </c>
      <c r="C676" t="s">
        <v>526</v>
      </c>
      <c r="D676" t="s">
        <v>694</v>
      </c>
      <c r="F676" t="s">
        <v>1592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800</v>
      </c>
      <c r="R676">
        <v>0</v>
      </c>
      <c r="S676">
        <f t="shared" si="10"/>
        <v>800</v>
      </c>
      <c r="T676">
        <v>0</v>
      </c>
      <c r="U676">
        <v>0</v>
      </c>
      <c r="V676">
        <v>1000</v>
      </c>
      <c r="W676">
        <v>1800</v>
      </c>
    </row>
    <row r="677" spans="1:23" ht="12.75">
      <c r="A677" t="s">
        <v>695</v>
      </c>
      <c r="B677" t="s">
        <v>696</v>
      </c>
      <c r="C677" t="s">
        <v>526</v>
      </c>
      <c r="D677" t="s">
        <v>697</v>
      </c>
      <c r="F677" t="s">
        <v>1592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648</v>
      </c>
      <c r="Q677">
        <v>0</v>
      </c>
      <c r="R677">
        <v>0</v>
      </c>
      <c r="S677">
        <f t="shared" si="10"/>
        <v>648</v>
      </c>
      <c r="T677">
        <v>0</v>
      </c>
      <c r="U677">
        <v>0</v>
      </c>
      <c r="V677">
        <v>0</v>
      </c>
      <c r="W677">
        <v>648</v>
      </c>
    </row>
    <row r="678" spans="1:23" ht="12.75">
      <c r="A678" t="s">
        <v>698</v>
      </c>
      <c r="B678" t="s">
        <v>699</v>
      </c>
      <c r="C678" t="s">
        <v>526</v>
      </c>
      <c r="D678" t="s">
        <v>700</v>
      </c>
      <c r="F678" t="s">
        <v>1592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2500</v>
      </c>
      <c r="Q678">
        <v>0</v>
      </c>
      <c r="R678">
        <v>0</v>
      </c>
      <c r="S678">
        <f t="shared" si="10"/>
        <v>2500</v>
      </c>
      <c r="T678">
        <v>0</v>
      </c>
      <c r="U678">
        <v>0</v>
      </c>
      <c r="V678">
        <v>0</v>
      </c>
      <c r="W678">
        <v>2500</v>
      </c>
    </row>
    <row r="679" spans="1:23" ht="12.75">
      <c r="A679" t="s">
        <v>1466</v>
      </c>
      <c r="B679" t="s">
        <v>1467</v>
      </c>
      <c r="C679" t="s">
        <v>526</v>
      </c>
      <c r="D679" t="s">
        <v>1468</v>
      </c>
      <c r="F679" t="s">
        <v>1592</v>
      </c>
      <c r="G679">
        <v>0</v>
      </c>
      <c r="H679">
        <v>0</v>
      </c>
      <c r="I679">
        <v>2</v>
      </c>
      <c r="J679">
        <v>2</v>
      </c>
      <c r="K679">
        <v>132444</v>
      </c>
      <c r="L679">
        <v>0</v>
      </c>
      <c r="M679">
        <v>5000</v>
      </c>
      <c r="N679">
        <v>0</v>
      </c>
      <c r="O679">
        <v>30614</v>
      </c>
      <c r="P679">
        <v>106915</v>
      </c>
      <c r="Q679">
        <v>20000</v>
      </c>
      <c r="R679">
        <v>0</v>
      </c>
      <c r="S679">
        <f t="shared" si="10"/>
        <v>126915</v>
      </c>
      <c r="T679">
        <v>0</v>
      </c>
      <c r="U679">
        <v>0</v>
      </c>
      <c r="V679">
        <v>10500</v>
      </c>
      <c r="W679">
        <v>305473</v>
      </c>
    </row>
    <row r="680" spans="1:23" ht="12.75">
      <c r="A680" t="s">
        <v>701</v>
      </c>
      <c r="B680" t="s">
        <v>702</v>
      </c>
      <c r="C680" t="s">
        <v>526</v>
      </c>
      <c r="D680" t="s">
        <v>703</v>
      </c>
      <c r="F680" t="s">
        <v>1592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15000</v>
      </c>
      <c r="Q680">
        <v>2000</v>
      </c>
      <c r="R680">
        <v>0</v>
      </c>
      <c r="S680">
        <f t="shared" si="10"/>
        <v>17000</v>
      </c>
      <c r="T680">
        <v>0</v>
      </c>
      <c r="U680">
        <v>0</v>
      </c>
      <c r="V680">
        <v>5000</v>
      </c>
      <c r="W680">
        <v>22000</v>
      </c>
    </row>
    <row r="681" spans="1:23" ht="12.75">
      <c r="A681" t="s">
        <v>704</v>
      </c>
      <c r="B681" t="s">
        <v>705</v>
      </c>
      <c r="C681" t="s">
        <v>526</v>
      </c>
      <c r="D681" t="s">
        <v>706</v>
      </c>
      <c r="F681" t="s">
        <v>1592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73</v>
      </c>
      <c r="S681">
        <f t="shared" si="10"/>
        <v>73</v>
      </c>
      <c r="T681">
        <v>0</v>
      </c>
      <c r="U681">
        <v>0</v>
      </c>
      <c r="V681">
        <v>0</v>
      </c>
      <c r="W681">
        <v>73</v>
      </c>
    </row>
    <row r="682" spans="1:23" ht="12.75">
      <c r="A682" t="s">
        <v>707</v>
      </c>
      <c r="B682" t="s">
        <v>708</v>
      </c>
      <c r="C682" t="s">
        <v>526</v>
      </c>
      <c r="D682" t="s">
        <v>709</v>
      </c>
      <c r="F682" t="s">
        <v>1592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13000</v>
      </c>
      <c r="O682">
        <v>0</v>
      </c>
      <c r="P682">
        <v>5000</v>
      </c>
      <c r="Q682">
        <v>0</v>
      </c>
      <c r="R682">
        <v>0</v>
      </c>
      <c r="S682">
        <f t="shared" si="10"/>
        <v>5000</v>
      </c>
      <c r="T682">
        <v>0</v>
      </c>
      <c r="U682">
        <v>0</v>
      </c>
      <c r="V682">
        <v>0</v>
      </c>
      <c r="W682">
        <v>18000</v>
      </c>
    </row>
    <row r="683" spans="1:23" ht="12.75">
      <c r="A683" t="s">
        <v>710</v>
      </c>
      <c r="B683" t="s">
        <v>711</v>
      </c>
      <c r="C683" t="s">
        <v>526</v>
      </c>
      <c r="D683" t="s">
        <v>712</v>
      </c>
      <c r="F683" t="s">
        <v>1592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500</v>
      </c>
      <c r="Q683">
        <v>0</v>
      </c>
      <c r="R683">
        <v>0</v>
      </c>
      <c r="S683">
        <f t="shared" si="10"/>
        <v>500</v>
      </c>
      <c r="T683">
        <v>0</v>
      </c>
      <c r="U683">
        <v>0</v>
      </c>
      <c r="V683">
        <v>0</v>
      </c>
      <c r="W683">
        <v>500</v>
      </c>
    </row>
    <row r="684" spans="1:23" ht="12.75">
      <c r="A684" t="s">
        <v>713</v>
      </c>
      <c r="B684" t="s">
        <v>2954</v>
      </c>
      <c r="C684" t="s">
        <v>526</v>
      </c>
      <c r="D684" t="s">
        <v>714</v>
      </c>
      <c r="F684" t="s">
        <v>1592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5516</v>
      </c>
      <c r="N684">
        <v>0</v>
      </c>
      <c r="O684">
        <v>175</v>
      </c>
      <c r="P684">
        <v>3387</v>
      </c>
      <c r="Q684">
        <v>15900</v>
      </c>
      <c r="R684">
        <v>0</v>
      </c>
      <c r="S684">
        <f t="shared" si="10"/>
        <v>19287</v>
      </c>
      <c r="T684">
        <v>0</v>
      </c>
      <c r="U684">
        <v>0</v>
      </c>
      <c r="V684">
        <v>200</v>
      </c>
      <c r="W684">
        <v>25178</v>
      </c>
    </row>
    <row r="685" spans="1:23" ht="12.75">
      <c r="A685" t="s">
        <v>715</v>
      </c>
      <c r="B685" t="s">
        <v>716</v>
      </c>
      <c r="C685" t="s">
        <v>526</v>
      </c>
      <c r="D685" t="s">
        <v>717</v>
      </c>
      <c r="F685" t="s">
        <v>1592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30000</v>
      </c>
      <c r="N685">
        <v>0</v>
      </c>
      <c r="O685">
        <v>4400</v>
      </c>
      <c r="P685">
        <v>0</v>
      </c>
      <c r="Q685">
        <v>0</v>
      </c>
      <c r="R685">
        <v>0</v>
      </c>
      <c r="S685">
        <f t="shared" si="10"/>
        <v>0</v>
      </c>
      <c r="T685">
        <v>0</v>
      </c>
      <c r="U685">
        <v>0</v>
      </c>
      <c r="V685">
        <v>0</v>
      </c>
      <c r="W685">
        <v>34400</v>
      </c>
    </row>
    <row r="686" spans="1:23" ht="12.75">
      <c r="A686" t="s">
        <v>718</v>
      </c>
      <c r="B686" t="s">
        <v>719</v>
      </c>
      <c r="C686" t="s">
        <v>526</v>
      </c>
      <c r="D686" t="s">
        <v>720</v>
      </c>
      <c r="F686" t="s">
        <v>1592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13500</v>
      </c>
      <c r="N686">
        <v>0</v>
      </c>
      <c r="O686">
        <v>3915</v>
      </c>
      <c r="P686">
        <v>20000</v>
      </c>
      <c r="Q686">
        <v>8000</v>
      </c>
      <c r="R686">
        <v>2000</v>
      </c>
      <c r="S686">
        <f t="shared" si="10"/>
        <v>30000</v>
      </c>
      <c r="T686">
        <v>0</v>
      </c>
      <c r="U686">
        <v>0</v>
      </c>
      <c r="V686">
        <v>1000</v>
      </c>
      <c r="W686">
        <v>48415</v>
      </c>
    </row>
    <row r="687" spans="1:23" ht="12.75">
      <c r="A687" t="s">
        <v>721</v>
      </c>
      <c r="B687" t="s">
        <v>722</v>
      </c>
      <c r="C687" t="s">
        <v>526</v>
      </c>
      <c r="D687" t="s">
        <v>723</v>
      </c>
      <c r="F687" t="s">
        <v>1592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3500</v>
      </c>
      <c r="N687">
        <v>0</v>
      </c>
      <c r="O687">
        <v>280</v>
      </c>
      <c r="P687">
        <v>12500</v>
      </c>
      <c r="Q687">
        <v>1000</v>
      </c>
      <c r="R687">
        <v>1000</v>
      </c>
      <c r="S687">
        <f t="shared" si="10"/>
        <v>14500</v>
      </c>
      <c r="T687">
        <v>0</v>
      </c>
      <c r="U687">
        <v>0</v>
      </c>
      <c r="V687">
        <v>2300</v>
      </c>
      <c r="W687">
        <v>20580</v>
      </c>
    </row>
    <row r="688" spans="1:23" ht="12.75">
      <c r="A688" t="s">
        <v>724</v>
      </c>
      <c r="B688" t="s">
        <v>725</v>
      </c>
      <c r="C688" t="s">
        <v>526</v>
      </c>
      <c r="D688" t="s">
        <v>726</v>
      </c>
      <c r="F688" t="s">
        <v>1592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500</v>
      </c>
      <c r="R688">
        <v>0</v>
      </c>
      <c r="S688">
        <f t="shared" si="10"/>
        <v>500</v>
      </c>
      <c r="T688">
        <v>0</v>
      </c>
      <c r="U688">
        <v>0</v>
      </c>
      <c r="V688">
        <v>0</v>
      </c>
      <c r="W688">
        <v>500</v>
      </c>
    </row>
    <row r="689" spans="1:23" ht="12.75">
      <c r="A689" t="s">
        <v>727</v>
      </c>
      <c r="B689" t="s">
        <v>728</v>
      </c>
      <c r="C689" t="s">
        <v>526</v>
      </c>
      <c r="D689" t="s">
        <v>729</v>
      </c>
      <c r="F689" t="s">
        <v>1592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1000</v>
      </c>
      <c r="R689">
        <v>0</v>
      </c>
      <c r="S689">
        <f t="shared" si="10"/>
        <v>1000</v>
      </c>
      <c r="T689">
        <v>0</v>
      </c>
      <c r="U689">
        <v>0</v>
      </c>
      <c r="V689">
        <v>0</v>
      </c>
      <c r="W689">
        <v>1000</v>
      </c>
    </row>
    <row r="690" spans="1:23" ht="12.75">
      <c r="A690" t="s">
        <v>730</v>
      </c>
      <c r="B690" t="s">
        <v>731</v>
      </c>
      <c r="C690" t="s">
        <v>732</v>
      </c>
      <c r="D690" t="s">
        <v>733</v>
      </c>
      <c r="F690" t="s">
        <v>1592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f t="shared" si="10"/>
        <v>0</v>
      </c>
      <c r="T690">
        <v>0</v>
      </c>
      <c r="U690">
        <v>0</v>
      </c>
      <c r="V690">
        <v>64216</v>
      </c>
      <c r="W690">
        <v>64216</v>
      </c>
    </row>
    <row r="691" spans="1:23" ht="12.75">
      <c r="A691" t="s">
        <v>734</v>
      </c>
      <c r="B691" t="s">
        <v>735</v>
      </c>
      <c r="C691" t="s">
        <v>732</v>
      </c>
      <c r="D691" t="s">
        <v>736</v>
      </c>
      <c r="F691" t="s">
        <v>1592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74018</v>
      </c>
      <c r="O691">
        <v>0</v>
      </c>
      <c r="P691">
        <v>0</v>
      </c>
      <c r="Q691">
        <v>0</v>
      </c>
      <c r="R691">
        <v>0</v>
      </c>
      <c r="S691">
        <f t="shared" si="10"/>
        <v>0</v>
      </c>
      <c r="T691">
        <v>33700</v>
      </c>
      <c r="U691">
        <v>0</v>
      </c>
      <c r="V691">
        <v>0</v>
      </c>
      <c r="W691">
        <v>107718</v>
      </c>
    </row>
    <row r="692" spans="1:23" ht="12.75">
      <c r="A692" t="s">
        <v>737</v>
      </c>
      <c r="B692" t="s">
        <v>738</v>
      </c>
      <c r="C692" t="s">
        <v>732</v>
      </c>
      <c r="D692" t="s">
        <v>739</v>
      </c>
      <c r="F692" t="s">
        <v>1592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11600</v>
      </c>
      <c r="N692">
        <v>0</v>
      </c>
      <c r="O692">
        <v>2900</v>
      </c>
      <c r="P692">
        <v>71092</v>
      </c>
      <c r="Q692">
        <v>0</v>
      </c>
      <c r="R692">
        <v>0</v>
      </c>
      <c r="S692">
        <f t="shared" si="10"/>
        <v>71092</v>
      </c>
      <c r="T692">
        <v>0</v>
      </c>
      <c r="U692">
        <v>0</v>
      </c>
      <c r="V692">
        <v>4200</v>
      </c>
      <c r="W692">
        <v>89792</v>
      </c>
    </row>
    <row r="693" spans="1:23" ht="12.75">
      <c r="A693" t="s">
        <v>740</v>
      </c>
      <c r="B693" t="s">
        <v>741</v>
      </c>
      <c r="C693" t="s">
        <v>732</v>
      </c>
      <c r="D693" t="s">
        <v>742</v>
      </c>
      <c r="F693" t="s">
        <v>1592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21024</v>
      </c>
      <c r="O693">
        <v>1551</v>
      </c>
      <c r="P693">
        <v>55487</v>
      </c>
      <c r="Q693">
        <v>0</v>
      </c>
      <c r="R693">
        <v>0</v>
      </c>
      <c r="S693">
        <f t="shared" si="10"/>
        <v>55487</v>
      </c>
      <c r="T693">
        <v>12000</v>
      </c>
      <c r="U693">
        <v>0</v>
      </c>
      <c r="V693">
        <v>1400</v>
      </c>
      <c r="W693">
        <v>91462</v>
      </c>
    </row>
    <row r="694" spans="1:23" ht="12.75">
      <c r="A694" t="s">
        <v>743</v>
      </c>
      <c r="B694" t="s">
        <v>744</v>
      </c>
      <c r="C694" t="s">
        <v>526</v>
      </c>
      <c r="D694" t="s">
        <v>745</v>
      </c>
      <c r="F694" t="s">
        <v>1592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55000</v>
      </c>
      <c r="Q694">
        <v>0</v>
      </c>
      <c r="R694">
        <v>0</v>
      </c>
      <c r="S694">
        <f t="shared" si="10"/>
        <v>55000</v>
      </c>
      <c r="T694">
        <v>0</v>
      </c>
      <c r="U694">
        <v>0</v>
      </c>
      <c r="V694">
        <v>0</v>
      </c>
      <c r="W694">
        <v>55000</v>
      </c>
    </row>
    <row r="695" spans="1:23" ht="12.75">
      <c r="A695" t="s">
        <v>746</v>
      </c>
      <c r="B695" t="s">
        <v>2606</v>
      </c>
      <c r="C695" t="s">
        <v>526</v>
      </c>
      <c r="D695" t="s">
        <v>747</v>
      </c>
      <c r="F695" t="s">
        <v>1592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2000</v>
      </c>
      <c r="N695">
        <v>0</v>
      </c>
      <c r="O695">
        <v>284</v>
      </c>
      <c r="P695">
        <v>810</v>
      </c>
      <c r="Q695">
        <v>269</v>
      </c>
      <c r="R695">
        <v>0</v>
      </c>
      <c r="S695">
        <f t="shared" si="10"/>
        <v>1079</v>
      </c>
      <c r="T695">
        <v>0</v>
      </c>
      <c r="U695">
        <v>0</v>
      </c>
      <c r="V695">
        <v>0</v>
      </c>
      <c r="W695">
        <v>3363</v>
      </c>
    </row>
    <row r="696" spans="1:23" ht="12.75">
      <c r="A696" t="s">
        <v>748</v>
      </c>
      <c r="B696" t="s">
        <v>749</v>
      </c>
      <c r="C696" t="s">
        <v>526</v>
      </c>
      <c r="D696" t="s">
        <v>750</v>
      </c>
      <c r="F696" t="s">
        <v>1592</v>
      </c>
      <c r="G696">
        <v>0</v>
      </c>
      <c r="H696">
        <v>0</v>
      </c>
      <c r="I696">
        <v>1</v>
      </c>
      <c r="J696">
        <v>0</v>
      </c>
      <c r="K696">
        <v>29664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f t="shared" si="10"/>
        <v>0</v>
      </c>
      <c r="T696">
        <v>0</v>
      </c>
      <c r="U696">
        <v>0</v>
      </c>
      <c r="V696">
        <v>0</v>
      </c>
      <c r="W696">
        <v>29664</v>
      </c>
    </row>
    <row r="697" spans="1:23" ht="12.75">
      <c r="A697" t="s">
        <v>751</v>
      </c>
      <c r="B697" t="s">
        <v>752</v>
      </c>
      <c r="C697" t="s">
        <v>526</v>
      </c>
      <c r="D697" t="s">
        <v>753</v>
      </c>
      <c r="F697" t="s">
        <v>1592</v>
      </c>
      <c r="G697">
        <v>0</v>
      </c>
      <c r="H697">
        <v>1</v>
      </c>
      <c r="I697">
        <v>0</v>
      </c>
      <c r="J697">
        <v>0</v>
      </c>
      <c r="K697">
        <v>21180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f t="shared" si="10"/>
        <v>0</v>
      </c>
      <c r="T697">
        <v>0</v>
      </c>
      <c r="U697">
        <v>0</v>
      </c>
      <c r="V697">
        <v>0</v>
      </c>
      <c r="W697">
        <v>21180</v>
      </c>
    </row>
    <row r="698" spans="1:23" ht="12.75">
      <c r="A698" t="s">
        <v>754</v>
      </c>
      <c r="B698" t="s">
        <v>755</v>
      </c>
      <c r="C698" t="s">
        <v>526</v>
      </c>
      <c r="D698" t="s">
        <v>756</v>
      </c>
      <c r="F698" t="s">
        <v>1592</v>
      </c>
      <c r="G698">
        <v>0</v>
      </c>
      <c r="H698">
        <v>0</v>
      </c>
      <c r="I698">
        <v>2</v>
      </c>
      <c r="J698">
        <v>0</v>
      </c>
      <c r="K698">
        <v>57216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f t="shared" si="10"/>
        <v>0</v>
      </c>
      <c r="T698">
        <v>0</v>
      </c>
      <c r="U698">
        <v>0</v>
      </c>
      <c r="V698">
        <v>0</v>
      </c>
      <c r="W698">
        <v>57216</v>
      </c>
    </row>
    <row r="699" spans="1:23" ht="12.75">
      <c r="A699" t="s">
        <v>757</v>
      </c>
      <c r="B699" t="s">
        <v>758</v>
      </c>
      <c r="C699" t="s">
        <v>526</v>
      </c>
      <c r="D699" t="s">
        <v>759</v>
      </c>
      <c r="F699" t="s">
        <v>1592</v>
      </c>
      <c r="G699">
        <v>0</v>
      </c>
      <c r="H699">
        <v>0</v>
      </c>
      <c r="I699">
        <v>0.25</v>
      </c>
      <c r="J699">
        <v>0</v>
      </c>
      <c r="K699">
        <v>7386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f t="shared" si="10"/>
        <v>0</v>
      </c>
      <c r="T699">
        <v>0</v>
      </c>
      <c r="U699">
        <v>0</v>
      </c>
      <c r="V699">
        <v>0</v>
      </c>
      <c r="W699">
        <v>7386</v>
      </c>
    </row>
    <row r="700" spans="1:23" ht="12.75">
      <c r="A700" t="s">
        <v>298</v>
      </c>
      <c r="B700" t="s">
        <v>299</v>
      </c>
      <c r="C700" t="s">
        <v>300</v>
      </c>
      <c r="D700" t="s">
        <v>301</v>
      </c>
      <c r="F700" t="s">
        <v>1592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1000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f t="shared" si="10"/>
        <v>0</v>
      </c>
      <c r="T700">
        <v>0</v>
      </c>
      <c r="U700">
        <v>0</v>
      </c>
      <c r="V700">
        <v>0</v>
      </c>
      <c r="W700">
        <v>1000</v>
      </c>
    </row>
    <row r="701" spans="1:23" ht="12.75">
      <c r="A701" t="s">
        <v>302</v>
      </c>
      <c r="B701" t="s">
        <v>303</v>
      </c>
      <c r="C701" t="s">
        <v>300</v>
      </c>
      <c r="D701" t="s">
        <v>304</v>
      </c>
      <c r="F701" t="s">
        <v>1592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1500</v>
      </c>
      <c r="N701">
        <v>0</v>
      </c>
      <c r="O701">
        <v>250</v>
      </c>
      <c r="P701">
        <v>0</v>
      </c>
      <c r="Q701">
        <v>0</v>
      </c>
      <c r="R701">
        <v>0</v>
      </c>
      <c r="S701">
        <f t="shared" si="10"/>
        <v>0</v>
      </c>
      <c r="T701">
        <v>0</v>
      </c>
      <c r="U701">
        <v>0</v>
      </c>
      <c r="V701">
        <v>0</v>
      </c>
      <c r="W701">
        <v>1750</v>
      </c>
    </row>
    <row r="702" spans="1:23" ht="12.75">
      <c r="A702" t="s">
        <v>305</v>
      </c>
      <c r="B702" t="s">
        <v>306</v>
      </c>
      <c r="C702" t="s">
        <v>300</v>
      </c>
      <c r="D702" t="s">
        <v>307</v>
      </c>
      <c r="F702" t="s">
        <v>1592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f t="shared" si="10"/>
        <v>0</v>
      </c>
      <c r="T702">
        <v>0</v>
      </c>
      <c r="U702">
        <v>0</v>
      </c>
      <c r="V702">
        <v>1000</v>
      </c>
      <c r="W702">
        <v>1000</v>
      </c>
    </row>
    <row r="703" spans="1:23" ht="12.75">
      <c r="A703" t="s">
        <v>308</v>
      </c>
      <c r="B703" t="s">
        <v>309</v>
      </c>
      <c r="C703" t="s">
        <v>300</v>
      </c>
      <c r="D703" t="s">
        <v>310</v>
      </c>
      <c r="F703" t="s">
        <v>1592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36000</v>
      </c>
      <c r="N703">
        <v>0</v>
      </c>
      <c r="O703">
        <v>1774</v>
      </c>
      <c r="P703">
        <v>0</v>
      </c>
      <c r="Q703">
        <v>0</v>
      </c>
      <c r="R703">
        <v>0</v>
      </c>
      <c r="S703">
        <f t="shared" si="10"/>
        <v>0</v>
      </c>
      <c r="T703">
        <v>0</v>
      </c>
      <c r="U703">
        <v>0</v>
      </c>
      <c r="V703">
        <v>0</v>
      </c>
      <c r="W703">
        <v>37774</v>
      </c>
    </row>
    <row r="704" spans="1:23" ht="12.75">
      <c r="A704" t="s">
        <v>311</v>
      </c>
      <c r="B704" t="s">
        <v>312</v>
      </c>
      <c r="C704" t="s">
        <v>300</v>
      </c>
      <c r="D704" t="s">
        <v>313</v>
      </c>
      <c r="F704" t="s">
        <v>1592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31500</v>
      </c>
      <c r="N704">
        <v>0</v>
      </c>
      <c r="O704">
        <v>2342</v>
      </c>
      <c r="P704">
        <v>0</v>
      </c>
      <c r="Q704">
        <v>0</v>
      </c>
      <c r="R704">
        <v>0</v>
      </c>
      <c r="S704">
        <f t="shared" si="10"/>
        <v>0</v>
      </c>
      <c r="T704">
        <v>0</v>
      </c>
      <c r="U704">
        <v>0</v>
      </c>
      <c r="V704">
        <v>0</v>
      </c>
      <c r="W704">
        <v>33842</v>
      </c>
    </row>
    <row r="705" spans="1:23" ht="12.75">
      <c r="A705" t="s">
        <v>314</v>
      </c>
      <c r="B705" t="s">
        <v>315</v>
      </c>
      <c r="C705" t="s">
        <v>300</v>
      </c>
      <c r="D705" t="s">
        <v>316</v>
      </c>
      <c r="F705" t="s">
        <v>1592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4500</v>
      </c>
      <c r="O705">
        <v>2667</v>
      </c>
      <c r="P705">
        <v>0</v>
      </c>
      <c r="Q705">
        <v>0</v>
      </c>
      <c r="R705">
        <v>0</v>
      </c>
      <c r="S705">
        <f t="shared" si="10"/>
        <v>0</v>
      </c>
      <c r="T705">
        <v>232</v>
      </c>
      <c r="U705">
        <v>0</v>
      </c>
      <c r="V705">
        <v>0</v>
      </c>
      <c r="W705">
        <v>7399</v>
      </c>
    </row>
    <row r="706" spans="1:23" ht="12.75">
      <c r="A706" t="s">
        <v>317</v>
      </c>
      <c r="B706" t="s">
        <v>318</v>
      </c>
      <c r="C706" t="s">
        <v>300</v>
      </c>
      <c r="D706" t="s">
        <v>319</v>
      </c>
      <c r="F706" t="s">
        <v>1592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3680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f t="shared" si="10"/>
        <v>0</v>
      </c>
      <c r="T706">
        <v>0</v>
      </c>
      <c r="U706">
        <v>0</v>
      </c>
      <c r="V706">
        <v>0</v>
      </c>
      <c r="W706">
        <v>3680</v>
      </c>
    </row>
    <row r="707" spans="1:23" ht="12.75">
      <c r="A707" t="s">
        <v>320</v>
      </c>
      <c r="B707" t="s">
        <v>321</v>
      </c>
      <c r="C707" t="s">
        <v>300</v>
      </c>
      <c r="D707" t="s">
        <v>322</v>
      </c>
      <c r="F707" t="s">
        <v>1592</v>
      </c>
      <c r="G707">
        <v>0</v>
      </c>
      <c r="H707">
        <v>0</v>
      </c>
      <c r="I707">
        <v>1</v>
      </c>
      <c r="J707">
        <v>0</v>
      </c>
      <c r="K707">
        <v>15924</v>
      </c>
      <c r="L707">
        <v>0</v>
      </c>
      <c r="M707">
        <v>5000</v>
      </c>
      <c r="N707">
        <v>0</v>
      </c>
      <c r="O707">
        <v>3457</v>
      </c>
      <c r="P707">
        <v>0</v>
      </c>
      <c r="Q707">
        <v>0</v>
      </c>
      <c r="R707">
        <v>0</v>
      </c>
      <c r="S707">
        <f t="shared" si="10"/>
        <v>0</v>
      </c>
      <c r="T707">
        <v>0</v>
      </c>
      <c r="U707">
        <v>0</v>
      </c>
      <c r="V707">
        <v>0</v>
      </c>
      <c r="W707">
        <v>24381</v>
      </c>
    </row>
    <row r="708" spans="1:23" ht="12.75">
      <c r="A708" t="s">
        <v>323</v>
      </c>
      <c r="B708" t="s">
        <v>324</v>
      </c>
      <c r="C708" t="s">
        <v>300</v>
      </c>
      <c r="D708" t="s">
        <v>325</v>
      </c>
      <c r="F708" t="s">
        <v>1592</v>
      </c>
      <c r="G708">
        <v>0</v>
      </c>
      <c r="H708">
        <v>0</v>
      </c>
      <c r="I708">
        <v>0</v>
      </c>
      <c r="J708">
        <v>1</v>
      </c>
      <c r="K708">
        <v>4000</v>
      </c>
      <c r="L708">
        <v>0</v>
      </c>
      <c r="M708">
        <v>15000</v>
      </c>
      <c r="N708">
        <v>0</v>
      </c>
      <c r="O708">
        <v>1350</v>
      </c>
      <c r="P708">
        <v>0</v>
      </c>
      <c r="Q708">
        <v>0</v>
      </c>
      <c r="R708">
        <v>0</v>
      </c>
      <c r="S708">
        <f t="shared" si="10"/>
        <v>0</v>
      </c>
      <c r="T708">
        <v>0</v>
      </c>
      <c r="U708">
        <v>0</v>
      </c>
      <c r="V708">
        <v>0</v>
      </c>
      <c r="W708">
        <v>20350</v>
      </c>
    </row>
    <row r="709" spans="1:23" ht="12.75">
      <c r="A709" t="s">
        <v>326</v>
      </c>
      <c r="B709" t="s">
        <v>327</v>
      </c>
      <c r="C709" t="s">
        <v>300</v>
      </c>
      <c r="D709" t="s">
        <v>328</v>
      </c>
      <c r="F709" t="s">
        <v>1592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70000</v>
      </c>
      <c r="N709">
        <v>0</v>
      </c>
      <c r="O709">
        <v>2400</v>
      </c>
      <c r="P709">
        <v>0</v>
      </c>
      <c r="Q709">
        <v>0</v>
      </c>
      <c r="R709">
        <v>0</v>
      </c>
      <c r="S709">
        <f t="shared" si="10"/>
        <v>0</v>
      </c>
      <c r="T709">
        <v>0</v>
      </c>
      <c r="U709">
        <v>0</v>
      </c>
      <c r="V709">
        <v>0</v>
      </c>
      <c r="W709">
        <v>72400</v>
      </c>
    </row>
    <row r="710" spans="1:23" ht="12.75">
      <c r="A710" t="s">
        <v>329</v>
      </c>
      <c r="B710" t="s">
        <v>330</v>
      </c>
      <c r="C710" t="s">
        <v>300</v>
      </c>
      <c r="D710" t="s">
        <v>331</v>
      </c>
      <c r="F710" t="s">
        <v>1592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3600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f t="shared" si="10"/>
        <v>0</v>
      </c>
      <c r="T710">
        <v>0</v>
      </c>
      <c r="U710">
        <v>0</v>
      </c>
      <c r="V710">
        <v>0</v>
      </c>
      <c r="W710">
        <v>3600</v>
      </c>
    </row>
    <row r="711" spans="1:23" ht="12.75">
      <c r="A711" t="s">
        <v>332</v>
      </c>
      <c r="B711" t="s">
        <v>333</v>
      </c>
      <c r="C711" t="s">
        <v>300</v>
      </c>
      <c r="D711" t="s">
        <v>334</v>
      </c>
      <c r="F711" t="s">
        <v>1592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2000</v>
      </c>
      <c r="N711">
        <v>0</v>
      </c>
      <c r="O711">
        <v>250</v>
      </c>
      <c r="P711">
        <v>0</v>
      </c>
      <c r="Q711">
        <v>0</v>
      </c>
      <c r="R711">
        <v>0</v>
      </c>
      <c r="S711">
        <f t="shared" si="10"/>
        <v>0</v>
      </c>
      <c r="T711">
        <v>0</v>
      </c>
      <c r="U711">
        <v>0</v>
      </c>
      <c r="V711">
        <v>150</v>
      </c>
      <c r="W711">
        <v>2400</v>
      </c>
    </row>
    <row r="712" spans="1:23" ht="12.75">
      <c r="A712" t="s">
        <v>335</v>
      </c>
      <c r="B712" t="s">
        <v>336</v>
      </c>
      <c r="C712" t="s">
        <v>300</v>
      </c>
      <c r="D712" t="s">
        <v>337</v>
      </c>
      <c r="F712" t="s">
        <v>1592</v>
      </c>
      <c r="G712">
        <v>0</v>
      </c>
      <c r="H712">
        <v>0</v>
      </c>
      <c r="I712">
        <v>0.241</v>
      </c>
      <c r="J712">
        <v>0</v>
      </c>
      <c r="K712">
        <v>5148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f t="shared" si="10"/>
        <v>0</v>
      </c>
      <c r="T712">
        <v>0</v>
      </c>
      <c r="U712">
        <v>0</v>
      </c>
      <c r="V712">
        <v>8000</v>
      </c>
      <c r="W712">
        <v>13148</v>
      </c>
    </row>
    <row r="713" spans="1:23" ht="12.75">
      <c r="A713" t="s">
        <v>338</v>
      </c>
      <c r="B713" t="s">
        <v>339</v>
      </c>
      <c r="C713" t="s">
        <v>300</v>
      </c>
      <c r="D713" t="s">
        <v>340</v>
      </c>
      <c r="F713" t="s">
        <v>1592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30000</v>
      </c>
      <c r="N713">
        <v>2835</v>
      </c>
      <c r="O713">
        <v>3612</v>
      </c>
      <c r="P713">
        <v>0</v>
      </c>
      <c r="Q713">
        <v>0</v>
      </c>
      <c r="R713">
        <v>0</v>
      </c>
      <c r="S713">
        <f t="shared" si="10"/>
        <v>0</v>
      </c>
      <c r="T713">
        <v>9110</v>
      </c>
      <c r="U713">
        <v>0</v>
      </c>
      <c r="V713">
        <v>0</v>
      </c>
      <c r="W713">
        <v>45557</v>
      </c>
    </row>
    <row r="714" spans="1:23" ht="12.75">
      <c r="A714" t="s">
        <v>341</v>
      </c>
      <c r="B714" t="s">
        <v>342</v>
      </c>
      <c r="C714" t="s">
        <v>300</v>
      </c>
      <c r="D714" t="s">
        <v>343</v>
      </c>
      <c r="F714" t="s">
        <v>1592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35000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f t="shared" si="10"/>
        <v>0</v>
      </c>
      <c r="T714">
        <v>0</v>
      </c>
      <c r="U714">
        <v>0</v>
      </c>
      <c r="V714">
        <v>0</v>
      </c>
      <c r="W714">
        <v>35000</v>
      </c>
    </row>
    <row r="715" spans="1:23" ht="12.75">
      <c r="A715" t="s">
        <v>344</v>
      </c>
      <c r="B715" t="s">
        <v>345</v>
      </c>
      <c r="C715" t="s">
        <v>300</v>
      </c>
      <c r="D715" t="s">
        <v>346</v>
      </c>
      <c r="F715" t="s">
        <v>1592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f aca="true" t="shared" si="11" ref="S715:S778">SUM(P715:R715)</f>
        <v>0</v>
      </c>
      <c r="T715">
        <v>0</v>
      </c>
      <c r="U715">
        <v>0</v>
      </c>
      <c r="V715">
        <v>25000</v>
      </c>
      <c r="W715">
        <v>25000</v>
      </c>
    </row>
    <row r="716" spans="1:23" ht="12.75">
      <c r="A716" t="s">
        <v>347</v>
      </c>
      <c r="B716" t="s">
        <v>348</v>
      </c>
      <c r="C716" t="s">
        <v>300</v>
      </c>
      <c r="D716" t="s">
        <v>349</v>
      </c>
      <c r="F716" t="s">
        <v>1592</v>
      </c>
      <c r="G716">
        <v>0</v>
      </c>
      <c r="H716">
        <v>1</v>
      </c>
      <c r="I716">
        <v>0</v>
      </c>
      <c r="J716">
        <v>1.4060000000000001</v>
      </c>
      <c r="K716">
        <v>97368</v>
      </c>
      <c r="L716">
        <v>0</v>
      </c>
      <c r="M716">
        <v>65000</v>
      </c>
      <c r="N716">
        <v>3000</v>
      </c>
      <c r="O716">
        <v>9960</v>
      </c>
      <c r="P716">
        <v>0</v>
      </c>
      <c r="Q716">
        <v>0</v>
      </c>
      <c r="R716">
        <v>0</v>
      </c>
      <c r="S716">
        <f t="shared" si="11"/>
        <v>0</v>
      </c>
      <c r="T716">
        <v>500</v>
      </c>
      <c r="U716">
        <v>0</v>
      </c>
      <c r="V716">
        <v>3200</v>
      </c>
      <c r="W716">
        <v>179028</v>
      </c>
    </row>
    <row r="717" spans="1:23" ht="12.75">
      <c r="A717" t="s">
        <v>350</v>
      </c>
      <c r="B717" t="s">
        <v>351</v>
      </c>
      <c r="C717" t="s">
        <v>300</v>
      </c>
      <c r="D717" t="s">
        <v>352</v>
      </c>
      <c r="F717" t="s">
        <v>1592</v>
      </c>
      <c r="G717">
        <v>0</v>
      </c>
      <c r="H717">
        <v>0</v>
      </c>
      <c r="I717">
        <v>0.407</v>
      </c>
      <c r="J717">
        <v>0</v>
      </c>
      <c r="K717">
        <v>18738</v>
      </c>
      <c r="L717">
        <v>0</v>
      </c>
      <c r="M717">
        <v>8050</v>
      </c>
      <c r="N717">
        <v>0</v>
      </c>
      <c r="O717">
        <v>4112</v>
      </c>
      <c r="P717">
        <v>0</v>
      </c>
      <c r="Q717">
        <v>0</v>
      </c>
      <c r="R717">
        <v>0</v>
      </c>
      <c r="S717">
        <f t="shared" si="11"/>
        <v>0</v>
      </c>
      <c r="T717">
        <v>0</v>
      </c>
      <c r="U717">
        <v>0</v>
      </c>
      <c r="V717">
        <v>0</v>
      </c>
      <c r="W717">
        <v>30900</v>
      </c>
    </row>
    <row r="718" spans="1:23" ht="12.75">
      <c r="A718" t="s">
        <v>353</v>
      </c>
      <c r="B718" t="s">
        <v>354</v>
      </c>
      <c r="C718" t="s">
        <v>300</v>
      </c>
      <c r="D718" t="s">
        <v>355</v>
      </c>
      <c r="F718" t="s">
        <v>1592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10000</v>
      </c>
      <c r="N718">
        <v>0</v>
      </c>
      <c r="O718">
        <v>300</v>
      </c>
      <c r="P718">
        <v>0</v>
      </c>
      <c r="Q718">
        <v>0</v>
      </c>
      <c r="R718">
        <v>0</v>
      </c>
      <c r="S718">
        <f t="shared" si="11"/>
        <v>0</v>
      </c>
      <c r="T718">
        <v>0</v>
      </c>
      <c r="U718">
        <v>0</v>
      </c>
      <c r="V718">
        <v>0</v>
      </c>
      <c r="W718">
        <v>10300</v>
      </c>
    </row>
    <row r="719" spans="1:23" ht="12.75">
      <c r="A719" t="s">
        <v>356</v>
      </c>
      <c r="B719" t="s">
        <v>357</v>
      </c>
      <c r="C719" t="s">
        <v>300</v>
      </c>
      <c r="D719" t="s">
        <v>358</v>
      </c>
      <c r="F719" t="s">
        <v>1592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5500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f t="shared" si="11"/>
        <v>0</v>
      </c>
      <c r="T719">
        <v>0</v>
      </c>
      <c r="U719">
        <v>0</v>
      </c>
      <c r="V719">
        <v>0</v>
      </c>
      <c r="W719">
        <v>5500</v>
      </c>
    </row>
    <row r="720" spans="1:23" ht="12.75">
      <c r="A720" t="s">
        <v>359</v>
      </c>
      <c r="B720" t="s">
        <v>360</v>
      </c>
      <c r="C720" t="s">
        <v>300</v>
      </c>
      <c r="D720" t="s">
        <v>361</v>
      </c>
      <c r="F720" t="s">
        <v>1592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5500</v>
      </c>
      <c r="N720">
        <v>7290</v>
      </c>
      <c r="O720">
        <v>220</v>
      </c>
      <c r="P720">
        <v>0</v>
      </c>
      <c r="Q720">
        <v>0</v>
      </c>
      <c r="R720">
        <v>0</v>
      </c>
      <c r="S720">
        <f t="shared" si="11"/>
        <v>0</v>
      </c>
      <c r="T720">
        <v>1500</v>
      </c>
      <c r="U720">
        <v>0</v>
      </c>
      <c r="V720">
        <v>0</v>
      </c>
      <c r="W720">
        <v>14510</v>
      </c>
    </row>
    <row r="721" spans="1:23" ht="12.75">
      <c r="A721" t="s">
        <v>362</v>
      </c>
      <c r="B721" t="s">
        <v>363</v>
      </c>
      <c r="C721" t="s">
        <v>300</v>
      </c>
      <c r="D721" t="s">
        <v>364</v>
      </c>
      <c r="F721" t="s">
        <v>1592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3000</v>
      </c>
      <c r="N721">
        <v>0</v>
      </c>
      <c r="O721">
        <v>300</v>
      </c>
      <c r="P721">
        <v>0</v>
      </c>
      <c r="Q721">
        <v>0</v>
      </c>
      <c r="R721">
        <v>0</v>
      </c>
      <c r="S721">
        <f t="shared" si="11"/>
        <v>0</v>
      </c>
      <c r="T721">
        <v>0</v>
      </c>
      <c r="U721">
        <v>0</v>
      </c>
      <c r="V721">
        <v>0</v>
      </c>
      <c r="W721">
        <v>3300</v>
      </c>
    </row>
    <row r="722" spans="1:23" ht="12.75">
      <c r="A722" t="s">
        <v>365</v>
      </c>
      <c r="B722" t="s">
        <v>366</v>
      </c>
      <c r="C722" t="s">
        <v>300</v>
      </c>
      <c r="D722" t="s">
        <v>367</v>
      </c>
      <c r="F722" t="s">
        <v>1592</v>
      </c>
      <c r="G722">
        <v>0</v>
      </c>
      <c r="H722">
        <v>0</v>
      </c>
      <c r="I722">
        <v>0.5</v>
      </c>
      <c r="J722">
        <v>0</v>
      </c>
      <c r="K722">
        <v>12012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f t="shared" si="11"/>
        <v>0</v>
      </c>
      <c r="T722">
        <v>0</v>
      </c>
      <c r="U722">
        <v>0</v>
      </c>
      <c r="V722">
        <v>0</v>
      </c>
      <c r="W722">
        <v>12012</v>
      </c>
    </row>
    <row r="723" spans="1:23" ht="12.75">
      <c r="A723" t="s">
        <v>368</v>
      </c>
      <c r="B723" t="s">
        <v>369</v>
      </c>
      <c r="C723" t="s">
        <v>300</v>
      </c>
      <c r="D723" t="s">
        <v>370</v>
      </c>
      <c r="F723" t="s">
        <v>1592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3000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f t="shared" si="11"/>
        <v>0</v>
      </c>
      <c r="T723">
        <v>0</v>
      </c>
      <c r="U723">
        <v>0</v>
      </c>
      <c r="V723">
        <v>0</v>
      </c>
      <c r="W723">
        <v>3000</v>
      </c>
    </row>
    <row r="724" spans="1:23" ht="12.75">
      <c r="A724" t="s">
        <v>371</v>
      </c>
      <c r="B724" t="s">
        <v>372</v>
      </c>
      <c r="C724" t="s">
        <v>300</v>
      </c>
      <c r="D724" t="s">
        <v>373</v>
      </c>
      <c r="F724" t="s">
        <v>1592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2000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f t="shared" si="11"/>
        <v>0</v>
      </c>
      <c r="T724">
        <v>0</v>
      </c>
      <c r="U724">
        <v>0</v>
      </c>
      <c r="V724">
        <v>0</v>
      </c>
      <c r="W724">
        <v>2000</v>
      </c>
    </row>
    <row r="725" spans="1:23" ht="12.75">
      <c r="A725" t="s">
        <v>374</v>
      </c>
      <c r="B725" t="s">
        <v>375</v>
      </c>
      <c r="C725" t="s">
        <v>300</v>
      </c>
      <c r="D725" t="s">
        <v>376</v>
      </c>
      <c r="F725" t="s">
        <v>1592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f t="shared" si="11"/>
        <v>0</v>
      </c>
      <c r="T725">
        <v>900</v>
      </c>
      <c r="U725">
        <v>0</v>
      </c>
      <c r="V725">
        <v>0</v>
      </c>
      <c r="W725">
        <v>900</v>
      </c>
    </row>
    <row r="726" spans="1:23" ht="12.75">
      <c r="A726" t="s">
        <v>377</v>
      </c>
      <c r="B726" t="s">
        <v>378</v>
      </c>
      <c r="C726" t="s">
        <v>300</v>
      </c>
      <c r="D726" t="s">
        <v>379</v>
      </c>
      <c r="F726" t="s">
        <v>1592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10000</v>
      </c>
      <c r="N726">
        <v>0</v>
      </c>
      <c r="O726">
        <v>790</v>
      </c>
      <c r="P726">
        <v>0</v>
      </c>
      <c r="Q726">
        <v>0</v>
      </c>
      <c r="R726">
        <v>0</v>
      </c>
      <c r="S726">
        <f t="shared" si="11"/>
        <v>0</v>
      </c>
      <c r="T726">
        <v>0</v>
      </c>
      <c r="U726">
        <v>0</v>
      </c>
      <c r="V726">
        <v>0</v>
      </c>
      <c r="W726">
        <v>10790</v>
      </c>
    </row>
    <row r="727" spans="1:23" ht="12.75">
      <c r="A727" t="s">
        <v>380</v>
      </c>
      <c r="B727" t="s">
        <v>381</v>
      </c>
      <c r="C727" t="s">
        <v>300</v>
      </c>
      <c r="D727" t="s">
        <v>382</v>
      </c>
      <c r="F727" t="s">
        <v>1592</v>
      </c>
      <c r="G727">
        <v>0</v>
      </c>
      <c r="H727">
        <v>0</v>
      </c>
      <c r="I727">
        <v>0</v>
      </c>
      <c r="J727">
        <v>0.31</v>
      </c>
      <c r="K727">
        <v>6816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f t="shared" si="11"/>
        <v>0</v>
      </c>
      <c r="T727">
        <v>0</v>
      </c>
      <c r="U727">
        <v>0</v>
      </c>
      <c r="V727">
        <v>0</v>
      </c>
      <c r="W727">
        <v>6816</v>
      </c>
    </row>
    <row r="728" spans="1:23" ht="12.75">
      <c r="A728" t="s">
        <v>383</v>
      </c>
      <c r="B728" t="s">
        <v>384</v>
      </c>
      <c r="C728" t="s">
        <v>300</v>
      </c>
      <c r="D728" t="s">
        <v>385</v>
      </c>
      <c r="F728" t="s">
        <v>1592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2000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f t="shared" si="11"/>
        <v>0</v>
      </c>
      <c r="T728">
        <v>0</v>
      </c>
      <c r="U728">
        <v>0</v>
      </c>
      <c r="V728">
        <v>0</v>
      </c>
      <c r="W728">
        <v>2000</v>
      </c>
    </row>
    <row r="729" spans="1:23" ht="12.75">
      <c r="A729" t="s">
        <v>386</v>
      </c>
      <c r="B729" t="s">
        <v>387</v>
      </c>
      <c r="C729" t="s">
        <v>300</v>
      </c>
      <c r="D729" t="s">
        <v>388</v>
      </c>
      <c r="F729" t="s">
        <v>1592</v>
      </c>
      <c r="G729">
        <v>0</v>
      </c>
      <c r="H729">
        <v>0.19</v>
      </c>
      <c r="I729">
        <v>0</v>
      </c>
      <c r="J729">
        <v>0</v>
      </c>
      <c r="K729">
        <v>9000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f t="shared" si="11"/>
        <v>0</v>
      </c>
      <c r="T729">
        <v>0</v>
      </c>
      <c r="U729">
        <v>0</v>
      </c>
      <c r="V729">
        <v>0</v>
      </c>
      <c r="W729">
        <v>9000</v>
      </c>
    </row>
    <row r="730" spans="1:23" ht="12.75">
      <c r="A730" t="s">
        <v>389</v>
      </c>
      <c r="B730" t="s">
        <v>390</v>
      </c>
      <c r="C730" t="s">
        <v>300</v>
      </c>
      <c r="D730" t="s">
        <v>391</v>
      </c>
      <c r="F730" t="s">
        <v>1592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4500</v>
      </c>
      <c r="Q730">
        <v>0</v>
      </c>
      <c r="R730">
        <v>0</v>
      </c>
      <c r="S730">
        <f t="shared" si="11"/>
        <v>4500</v>
      </c>
      <c r="T730">
        <v>0</v>
      </c>
      <c r="U730">
        <v>0</v>
      </c>
      <c r="V730">
        <v>0</v>
      </c>
      <c r="W730">
        <v>4500</v>
      </c>
    </row>
    <row r="731" spans="1:23" ht="12.75">
      <c r="A731" t="s">
        <v>1114</v>
      </c>
      <c r="B731" t="s">
        <v>1115</v>
      </c>
      <c r="C731" t="s">
        <v>1116</v>
      </c>
      <c r="D731" t="s">
        <v>1117</v>
      </c>
      <c r="F731" t="s">
        <v>1592</v>
      </c>
      <c r="G731">
        <v>0</v>
      </c>
      <c r="H731">
        <v>0</v>
      </c>
      <c r="I731">
        <v>10</v>
      </c>
      <c r="J731">
        <v>0</v>
      </c>
      <c r="K731">
        <v>183168</v>
      </c>
      <c r="L731">
        <v>0</v>
      </c>
      <c r="M731">
        <v>23182</v>
      </c>
      <c r="N731">
        <v>0</v>
      </c>
      <c r="O731">
        <v>32912</v>
      </c>
      <c r="P731">
        <v>655970</v>
      </c>
      <c r="Q731">
        <v>0</v>
      </c>
      <c r="R731">
        <v>0</v>
      </c>
      <c r="S731">
        <f t="shared" si="11"/>
        <v>655970</v>
      </c>
      <c r="T731">
        <v>0</v>
      </c>
      <c r="U731">
        <v>0</v>
      </c>
      <c r="V731">
        <v>0</v>
      </c>
      <c r="W731">
        <v>895232</v>
      </c>
    </row>
    <row r="732" spans="1:23" ht="12.75">
      <c r="A732" t="s">
        <v>1118</v>
      </c>
      <c r="B732" t="s">
        <v>1119</v>
      </c>
      <c r="C732" t="s">
        <v>1116</v>
      </c>
      <c r="D732" t="s">
        <v>1120</v>
      </c>
      <c r="F732" t="s">
        <v>1592</v>
      </c>
      <c r="G732">
        <v>0</v>
      </c>
      <c r="H732">
        <v>0</v>
      </c>
      <c r="I732">
        <v>4</v>
      </c>
      <c r="J732">
        <v>0</v>
      </c>
      <c r="K732">
        <v>65448</v>
      </c>
      <c r="L732">
        <v>0</v>
      </c>
      <c r="M732">
        <v>34905</v>
      </c>
      <c r="N732">
        <v>0</v>
      </c>
      <c r="O732">
        <v>23344</v>
      </c>
      <c r="P732">
        <v>476456</v>
      </c>
      <c r="Q732">
        <v>0</v>
      </c>
      <c r="R732">
        <v>0</v>
      </c>
      <c r="S732">
        <f t="shared" si="11"/>
        <v>476456</v>
      </c>
      <c r="T732">
        <v>0</v>
      </c>
      <c r="U732">
        <v>0</v>
      </c>
      <c r="V732">
        <v>0</v>
      </c>
      <c r="W732">
        <v>600153</v>
      </c>
    </row>
    <row r="733" spans="1:23" ht="12.75">
      <c r="A733" t="s">
        <v>1121</v>
      </c>
      <c r="B733" t="s">
        <v>1122</v>
      </c>
      <c r="C733" t="s">
        <v>1123</v>
      </c>
      <c r="D733" t="s">
        <v>1124</v>
      </c>
      <c r="F733" t="s">
        <v>1592</v>
      </c>
      <c r="G733">
        <v>0</v>
      </c>
      <c r="H733">
        <v>0</v>
      </c>
      <c r="I733">
        <v>13.25</v>
      </c>
      <c r="J733">
        <v>0</v>
      </c>
      <c r="K733">
        <v>370833</v>
      </c>
      <c r="L733">
        <v>0</v>
      </c>
      <c r="M733">
        <v>315597</v>
      </c>
      <c r="N733">
        <v>0</v>
      </c>
      <c r="O733">
        <v>126052</v>
      </c>
      <c r="P733">
        <v>49872</v>
      </c>
      <c r="Q733">
        <v>0</v>
      </c>
      <c r="R733">
        <v>0</v>
      </c>
      <c r="S733">
        <f t="shared" si="11"/>
        <v>49872</v>
      </c>
      <c r="T733">
        <v>0</v>
      </c>
      <c r="U733">
        <v>1410150</v>
      </c>
      <c r="V733">
        <v>5000</v>
      </c>
      <c r="W733">
        <v>2277504</v>
      </c>
    </row>
    <row r="734" spans="1:23" ht="12.75">
      <c r="A734" t="s">
        <v>1125</v>
      </c>
      <c r="B734" t="s">
        <v>1126</v>
      </c>
      <c r="C734" t="s">
        <v>1116</v>
      </c>
      <c r="D734" t="s">
        <v>1127</v>
      </c>
      <c r="F734" t="s">
        <v>1592</v>
      </c>
      <c r="G734">
        <v>0</v>
      </c>
      <c r="H734">
        <v>0</v>
      </c>
      <c r="I734">
        <v>10</v>
      </c>
      <c r="J734">
        <v>0</v>
      </c>
      <c r="K734">
        <v>186552</v>
      </c>
      <c r="L734">
        <v>0</v>
      </c>
      <c r="M734">
        <v>23182</v>
      </c>
      <c r="N734">
        <v>0</v>
      </c>
      <c r="O734">
        <v>30405</v>
      </c>
      <c r="P734">
        <v>708092</v>
      </c>
      <c r="Q734">
        <v>0</v>
      </c>
      <c r="R734">
        <v>0</v>
      </c>
      <c r="S734">
        <f t="shared" si="11"/>
        <v>708092</v>
      </c>
      <c r="T734">
        <v>0</v>
      </c>
      <c r="U734">
        <v>0</v>
      </c>
      <c r="V734">
        <v>0</v>
      </c>
      <c r="W734">
        <v>948231</v>
      </c>
    </row>
    <row r="735" spans="1:23" ht="12.75">
      <c r="A735" t="s">
        <v>1128</v>
      </c>
      <c r="B735" t="s">
        <v>1129</v>
      </c>
      <c r="C735" t="s">
        <v>1116</v>
      </c>
      <c r="D735" t="s">
        <v>1130</v>
      </c>
      <c r="F735" t="s">
        <v>1592</v>
      </c>
      <c r="G735">
        <v>0</v>
      </c>
      <c r="H735">
        <v>0</v>
      </c>
      <c r="I735">
        <v>4</v>
      </c>
      <c r="J735">
        <v>0</v>
      </c>
      <c r="K735">
        <v>79392</v>
      </c>
      <c r="L735">
        <v>0</v>
      </c>
      <c r="M735">
        <v>107403</v>
      </c>
      <c r="N735">
        <v>0</v>
      </c>
      <c r="O735">
        <v>25981</v>
      </c>
      <c r="P735">
        <v>125126</v>
      </c>
      <c r="Q735">
        <v>0</v>
      </c>
      <c r="R735">
        <v>0</v>
      </c>
      <c r="S735">
        <f t="shared" si="11"/>
        <v>125126</v>
      </c>
      <c r="T735">
        <v>0</v>
      </c>
      <c r="U735">
        <v>0</v>
      </c>
      <c r="V735">
        <v>0</v>
      </c>
      <c r="W735">
        <v>337902</v>
      </c>
    </row>
    <row r="736" spans="1:23" ht="12.75">
      <c r="A736" t="s">
        <v>1131</v>
      </c>
      <c r="B736" t="s">
        <v>1132</v>
      </c>
      <c r="C736" t="s">
        <v>1116</v>
      </c>
      <c r="D736" t="s">
        <v>1133</v>
      </c>
      <c r="F736" t="s">
        <v>1592</v>
      </c>
      <c r="G736">
        <v>0</v>
      </c>
      <c r="H736">
        <v>0</v>
      </c>
      <c r="I736">
        <v>4</v>
      </c>
      <c r="J736">
        <v>0</v>
      </c>
      <c r="K736">
        <v>61884</v>
      </c>
      <c r="L736">
        <v>0</v>
      </c>
      <c r="M736">
        <v>48763</v>
      </c>
      <c r="N736">
        <v>0</v>
      </c>
      <c r="O736">
        <v>21082</v>
      </c>
      <c r="P736">
        <v>216605</v>
      </c>
      <c r="Q736">
        <v>0</v>
      </c>
      <c r="R736">
        <v>0</v>
      </c>
      <c r="S736">
        <f t="shared" si="11"/>
        <v>216605</v>
      </c>
      <c r="T736">
        <v>0</v>
      </c>
      <c r="U736">
        <v>0</v>
      </c>
      <c r="V736">
        <v>0</v>
      </c>
      <c r="W736">
        <v>348334</v>
      </c>
    </row>
    <row r="737" spans="1:23" ht="12.75">
      <c r="A737" t="s">
        <v>1134</v>
      </c>
      <c r="B737" t="s">
        <v>1135</v>
      </c>
      <c r="C737" t="s">
        <v>1116</v>
      </c>
      <c r="D737" t="s">
        <v>1136</v>
      </c>
      <c r="F737" t="s">
        <v>1592</v>
      </c>
      <c r="G737">
        <v>0</v>
      </c>
      <c r="H737">
        <v>0</v>
      </c>
      <c r="I737">
        <v>4</v>
      </c>
      <c r="J737">
        <v>0</v>
      </c>
      <c r="K737">
        <v>63972</v>
      </c>
      <c r="L737">
        <v>0</v>
      </c>
      <c r="M737">
        <v>15508</v>
      </c>
      <c r="N737">
        <v>0</v>
      </c>
      <c r="O737">
        <v>0</v>
      </c>
      <c r="P737">
        <v>191802</v>
      </c>
      <c r="Q737">
        <v>0</v>
      </c>
      <c r="R737">
        <v>0</v>
      </c>
      <c r="S737">
        <f t="shared" si="11"/>
        <v>191802</v>
      </c>
      <c r="T737">
        <v>0</v>
      </c>
      <c r="U737">
        <v>0</v>
      </c>
      <c r="V737">
        <v>0</v>
      </c>
      <c r="W737">
        <v>271282</v>
      </c>
    </row>
    <row r="738" spans="1:23" ht="12.75">
      <c r="A738" t="s">
        <v>1137</v>
      </c>
      <c r="B738" t="s">
        <v>1138</v>
      </c>
      <c r="C738" t="s">
        <v>1116</v>
      </c>
      <c r="D738" t="s">
        <v>1139</v>
      </c>
      <c r="F738" t="s">
        <v>1592</v>
      </c>
      <c r="G738">
        <v>0</v>
      </c>
      <c r="H738">
        <v>0</v>
      </c>
      <c r="I738">
        <v>4</v>
      </c>
      <c r="J738">
        <v>0</v>
      </c>
      <c r="K738">
        <v>62520</v>
      </c>
      <c r="L738">
        <v>0</v>
      </c>
      <c r="M738">
        <v>48763</v>
      </c>
      <c r="N738">
        <v>0</v>
      </c>
      <c r="O738">
        <v>19445</v>
      </c>
      <c r="P738">
        <v>237313</v>
      </c>
      <c r="Q738">
        <v>0</v>
      </c>
      <c r="R738">
        <v>0</v>
      </c>
      <c r="S738">
        <f t="shared" si="11"/>
        <v>237313</v>
      </c>
      <c r="T738">
        <v>0</v>
      </c>
      <c r="U738">
        <v>0</v>
      </c>
      <c r="V738">
        <v>0</v>
      </c>
      <c r="W738">
        <v>368041</v>
      </c>
    </row>
    <row r="739" spans="1:23" ht="12.75">
      <c r="A739" t="s">
        <v>1140</v>
      </c>
      <c r="B739" t="s">
        <v>1141</v>
      </c>
      <c r="C739" t="s">
        <v>1116</v>
      </c>
      <c r="D739" t="s">
        <v>1142</v>
      </c>
      <c r="F739" t="s">
        <v>1592</v>
      </c>
      <c r="G739">
        <v>0</v>
      </c>
      <c r="H739">
        <v>0</v>
      </c>
      <c r="I739">
        <v>11</v>
      </c>
      <c r="J739">
        <v>0</v>
      </c>
      <c r="K739">
        <v>228816</v>
      </c>
      <c r="L739">
        <v>0</v>
      </c>
      <c r="M739">
        <v>91045</v>
      </c>
      <c r="N739">
        <v>0</v>
      </c>
      <c r="O739">
        <v>40328</v>
      </c>
      <c r="P739">
        <v>1115864</v>
      </c>
      <c r="Q739">
        <v>0</v>
      </c>
      <c r="R739">
        <v>0</v>
      </c>
      <c r="S739">
        <f t="shared" si="11"/>
        <v>1115864</v>
      </c>
      <c r="T739">
        <v>0</v>
      </c>
      <c r="U739">
        <v>0</v>
      </c>
      <c r="V739">
        <v>0</v>
      </c>
      <c r="W739">
        <v>1476053</v>
      </c>
    </row>
    <row r="740" spans="1:23" ht="12.75">
      <c r="A740" t="s">
        <v>1143</v>
      </c>
      <c r="B740" t="s">
        <v>1144</v>
      </c>
      <c r="C740" t="s">
        <v>1145</v>
      </c>
      <c r="D740" t="s">
        <v>1146</v>
      </c>
      <c r="F740" t="s">
        <v>1592</v>
      </c>
      <c r="G740">
        <v>0</v>
      </c>
      <c r="H740">
        <v>0</v>
      </c>
      <c r="I740">
        <v>21</v>
      </c>
      <c r="J740">
        <v>0</v>
      </c>
      <c r="K740">
        <v>434328</v>
      </c>
      <c r="L740">
        <v>0</v>
      </c>
      <c r="M740">
        <v>100000</v>
      </c>
      <c r="N740">
        <v>0</v>
      </c>
      <c r="O740">
        <v>134441</v>
      </c>
      <c r="P740">
        <v>119000</v>
      </c>
      <c r="Q740">
        <v>15000</v>
      </c>
      <c r="R740">
        <v>0</v>
      </c>
      <c r="S740">
        <f t="shared" si="11"/>
        <v>134000</v>
      </c>
      <c r="T740">
        <v>0</v>
      </c>
      <c r="U740">
        <v>3260140</v>
      </c>
      <c r="V740">
        <v>0</v>
      </c>
      <c r="W740">
        <v>4062909</v>
      </c>
    </row>
    <row r="741" spans="1:23" ht="12.75">
      <c r="A741" t="s">
        <v>1147</v>
      </c>
      <c r="B741" t="s">
        <v>1148</v>
      </c>
      <c r="C741" t="s">
        <v>1149</v>
      </c>
      <c r="D741" t="s">
        <v>1150</v>
      </c>
      <c r="F741" t="s">
        <v>1592</v>
      </c>
      <c r="G741">
        <v>1</v>
      </c>
      <c r="H741">
        <v>0</v>
      </c>
      <c r="I741">
        <v>15.442</v>
      </c>
      <c r="J741">
        <v>0</v>
      </c>
      <c r="K741">
        <v>397734</v>
      </c>
      <c r="L741">
        <v>0</v>
      </c>
      <c r="M741">
        <v>80995</v>
      </c>
      <c r="N741">
        <v>0</v>
      </c>
      <c r="O741">
        <v>95686</v>
      </c>
      <c r="P741">
        <v>330680</v>
      </c>
      <c r="Q741">
        <v>0</v>
      </c>
      <c r="R741">
        <v>0</v>
      </c>
      <c r="S741">
        <f t="shared" si="11"/>
        <v>330680</v>
      </c>
      <c r="T741">
        <v>0</v>
      </c>
      <c r="U741">
        <v>9232</v>
      </c>
      <c r="V741">
        <v>0</v>
      </c>
      <c r="W741">
        <v>914327</v>
      </c>
    </row>
    <row r="742" spans="1:23" ht="12.75">
      <c r="A742" t="s">
        <v>1151</v>
      </c>
      <c r="B742" t="s">
        <v>1152</v>
      </c>
      <c r="C742" t="s">
        <v>1116</v>
      </c>
      <c r="D742" t="s">
        <v>1153</v>
      </c>
      <c r="F742" t="s">
        <v>1592</v>
      </c>
      <c r="G742">
        <v>0</v>
      </c>
      <c r="H742">
        <v>0</v>
      </c>
      <c r="I742">
        <v>2</v>
      </c>
      <c r="J742">
        <v>0</v>
      </c>
      <c r="K742">
        <v>41736</v>
      </c>
      <c r="L742">
        <v>0</v>
      </c>
      <c r="M742">
        <v>23339</v>
      </c>
      <c r="N742">
        <v>0</v>
      </c>
      <c r="O742">
        <v>12890</v>
      </c>
      <c r="P742">
        <v>424225</v>
      </c>
      <c r="Q742">
        <v>0</v>
      </c>
      <c r="R742">
        <v>0</v>
      </c>
      <c r="S742">
        <f t="shared" si="11"/>
        <v>424225</v>
      </c>
      <c r="T742">
        <v>0</v>
      </c>
      <c r="U742">
        <v>0</v>
      </c>
      <c r="V742">
        <v>0</v>
      </c>
      <c r="W742">
        <v>502190</v>
      </c>
    </row>
    <row r="743" spans="1:23" ht="12.75">
      <c r="A743" t="s">
        <v>1154</v>
      </c>
      <c r="B743" t="s">
        <v>1155</v>
      </c>
      <c r="C743" t="s">
        <v>1116</v>
      </c>
      <c r="D743" t="s">
        <v>1156</v>
      </c>
      <c r="F743" t="s">
        <v>1592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51665</v>
      </c>
      <c r="Q743">
        <v>0</v>
      </c>
      <c r="R743">
        <v>0</v>
      </c>
      <c r="S743">
        <f t="shared" si="11"/>
        <v>51665</v>
      </c>
      <c r="T743">
        <v>0</v>
      </c>
      <c r="U743">
        <v>0</v>
      </c>
      <c r="V743">
        <v>0</v>
      </c>
      <c r="W743">
        <v>51665</v>
      </c>
    </row>
    <row r="744" spans="1:23" ht="12.75">
      <c r="A744" t="s">
        <v>1157</v>
      </c>
      <c r="B744" t="s">
        <v>1158</v>
      </c>
      <c r="C744" t="s">
        <v>3191</v>
      </c>
      <c r="D744" t="s">
        <v>1159</v>
      </c>
      <c r="F744" t="s">
        <v>1592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323</v>
      </c>
      <c r="P744">
        <v>0</v>
      </c>
      <c r="Q744">
        <v>0</v>
      </c>
      <c r="R744">
        <v>0</v>
      </c>
      <c r="S744">
        <f t="shared" si="11"/>
        <v>0</v>
      </c>
      <c r="T744">
        <v>0</v>
      </c>
      <c r="U744">
        <v>0</v>
      </c>
      <c r="V744">
        <v>0</v>
      </c>
      <c r="W744">
        <v>323</v>
      </c>
    </row>
    <row r="745" spans="1:23" ht="12.75">
      <c r="A745" t="s">
        <v>1160</v>
      </c>
      <c r="B745" t="s">
        <v>1161</v>
      </c>
      <c r="C745" t="s">
        <v>3191</v>
      </c>
      <c r="D745" t="s">
        <v>1162</v>
      </c>
      <c r="F745" t="s">
        <v>1592</v>
      </c>
      <c r="G745">
        <v>0</v>
      </c>
      <c r="H745">
        <v>0</v>
      </c>
      <c r="I745">
        <v>1</v>
      </c>
      <c r="J745">
        <v>0</v>
      </c>
      <c r="K745">
        <v>23604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f t="shared" si="11"/>
        <v>0</v>
      </c>
      <c r="T745">
        <v>0</v>
      </c>
      <c r="U745">
        <v>0</v>
      </c>
      <c r="V745">
        <v>0</v>
      </c>
      <c r="W745">
        <v>23604</v>
      </c>
    </row>
    <row r="746" spans="1:23" ht="12.75">
      <c r="A746" t="s">
        <v>1163</v>
      </c>
      <c r="B746" t="s">
        <v>1164</v>
      </c>
      <c r="C746" t="s">
        <v>3191</v>
      </c>
      <c r="D746" t="s">
        <v>1165</v>
      </c>
      <c r="F746" t="s">
        <v>1592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20000</v>
      </c>
      <c r="N746">
        <v>0</v>
      </c>
      <c r="O746">
        <v>6300</v>
      </c>
      <c r="P746">
        <v>25000</v>
      </c>
      <c r="Q746">
        <v>35000</v>
      </c>
      <c r="R746">
        <v>15000</v>
      </c>
      <c r="S746">
        <f t="shared" si="11"/>
        <v>75000</v>
      </c>
      <c r="T746">
        <v>1000</v>
      </c>
      <c r="U746">
        <v>0</v>
      </c>
      <c r="V746">
        <v>11000</v>
      </c>
      <c r="W746">
        <v>113300</v>
      </c>
    </row>
    <row r="747" spans="1:23" ht="12.75">
      <c r="A747" t="s">
        <v>1166</v>
      </c>
      <c r="B747" t="s">
        <v>1167</v>
      </c>
      <c r="C747" t="s">
        <v>1168</v>
      </c>
      <c r="D747" t="s">
        <v>1169</v>
      </c>
      <c r="F747" t="s">
        <v>1592</v>
      </c>
      <c r="G747">
        <v>0</v>
      </c>
      <c r="H747">
        <v>0</v>
      </c>
      <c r="I747">
        <v>2</v>
      </c>
      <c r="J747">
        <v>0</v>
      </c>
      <c r="K747">
        <v>56316</v>
      </c>
      <c r="L747">
        <v>0</v>
      </c>
      <c r="M747">
        <v>7500</v>
      </c>
      <c r="N747">
        <v>0</v>
      </c>
      <c r="O747">
        <v>6913</v>
      </c>
      <c r="P747">
        <v>25000</v>
      </c>
      <c r="Q747">
        <v>300</v>
      </c>
      <c r="R747">
        <v>2000</v>
      </c>
      <c r="S747">
        <f t="shared" si="11"/>
        <v>27300</v>
      </c>
      <c r="T747">
        <v>0</v>
      </c>
      <c r="U747">
        <v>35000</v>
      </c>
      <c r="V747">
        <v>0</v>
      </c>
      <c r="W747">
        <v>133029</v>
      </c>
    </row>
    <row r="748" spans="1:23" ht="12.75">
      <c r="A748" t="s">
        <v>1170</v>
      </c>
      <c r="B748" t="s">
        <v>1171</v>
      </c>
      <c r="C748" t="s">
        <v>948</v>
      </c>
      <c r="D748" t="s">
        <v>1172</v>
      </c>
      <c r="F748" t="s">
        <v>1592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285000</v>
      </c>
      <c r="Q748">
        <v>0</v>
      </c>
      <c r="R748">
        <v>0</v>
      </c>
      <c r="S748">
        <f t="shared" si="11"/>
        <v>285000</v>
      </c>
      <c r="T748">
        <v>0</v>
      </c>
      <c r="U748">
        <v>0</v>
      </c>
      <c r="V748">
        <v>0</v>
      </c>
      <c r="W748">
        <v>285000</v>
      </c>
    </row>
    <row r="749" spans="1:23" ht="12.75">
      <c r="A749" t="s">
        <v>1173</v>
      </c>
      <c r="B749" t="s">
        <v>1174</v>
      </c>
      <c r="C749" t="s">
        <v>1175</v>
      </c>
      <c r="D749" t="s">
        <v>1176</v>
      </c>
      <c r="F749" t="s">
        <v>1592</v>
      </c>
      <c r="G749">
        <v>0</v>
      </c>
      <c r="H749">
        <v>0</v>
      </c>
      <c r="I749">
        <v>5</v>
      </c>
      <c r="J749">
        <v>0</v>
      </c>
      <c r="K749">
        <v>102756</v>
      </c>
      <c r="L749">
        <v>0</v>
      </c>
      <c r="M749">
        <v>53339</v>
      </c>
      <c r="N749">
        <v>0</v>
      </c>
      <c r="O749">
        <v>30435</v>
      </c>
      <c r="P749">
        <v>50165</v>
      </c>
      <c r="Q749">
        <v>2000</v>
      </c>
      <c r="R749">
        <v>0</v>
      </c>
      <c r="S749">
        <f t="shared" si="11"/>
        <v>52165</v>
      </c>
      <c r="T749">
        <v>0</v>
      </c>
      <c r="U749">
        <v>112361</v>
      </c>
      <c r="V749">
        <v>0</v>
      </c>
      <c r="W749">
        <v>351056</v>
      </c>
    </row>
    <row r="750" spans="1:23" ht="12.75">
      <c r="A750" t="s">
        <v>1177</v>
      </c>
      <c r="B750" t="s">
        <v>1178</v>
      </c>
      <c r="C750" t="s">
        <v>1179</v>
      </c>
      <c r="D750" t="s">
        <v>1180</v>
      </c>
      <c r="F750" t="s">
        <v>1592</v>
      </c>
      <c r="G750">
        <v>0</v>
      </c>
      <c r="H750">
        <v>0</v>
      </c>
      <c r="I750">
        <v>0</v>
      </c>
      <c r="J750">
        <v>0.135</v>
      </c>
      <c r="K750">
        <v>4056</v>
      </c>
      <c r="L750">
        <v>0</v>
      </c>
      <c r="M750">
        <v>45000</v>
      </c>
      <c r="N750">
        <v>0</v>
      </c>
      <c r="O750">
        <v>9000</v>
      </c>
      <c r="P750">
        <v>8500</v>
      </c>
      <c r="Q750">
        <v>750</v>
      </c>
      <c r="R750">
        <v>0</v>
      </c>
      <c r="S750">
        <f t="shared" si="11"/>
        <v>9250</v>
      </c>
      <c r="T750">
        <v>0</v>
      </c>
      <c r="U750">
        <v>0</v>
      </c>
      <c r="V750">
        <v>200</v>
      </c>
      <c r="W750">
        <v>67506</v>
      </c>
    </row>
    <row r="751" spans="1:23" ht="12.75">
      <c r="A751" t="s">
        <v>1181</v>
      </c>
      <c r="B751" t="s">
        <v>1182</v>
      </c>
      <c r="C751" t="s">
        <v>3191</v>
      </c>
      <c r="D751" t="s">
        <v>1183</v>
      </c>
      <c r="F751" t="s">
        <v>1592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3000</v>
      </c>
      <c r="Q751">
        <v>0</v>
      </c>
      <c r="R751">
        <v>0</v>
      </c>
      <c r="S751">
        <f t="shared" si="11"/>
        <v>3000</v>
      </c>
      <c r="T751">
        <v>0</v>
      </c>
      <c r="U751">
        <v>0</v>
      </c>
      <c r="V751">
        <v>1000</v>
      </c>
      <c r="W751">
        <v>4000</v>
      </c>
    </row>
    <row r="752" spans="1:23" ht="12.75">
      <c r="A752" t="s">
        <v>1184</v>
      </c>
      <c r="B752" t="s">
        <v>1185</v>
      </c>
      <c r="C752" t="s">
        <v>3191</v>
      </c>
      <c r="D752" t="s">
        <v>1186</v>
      </c>
      <c r="F752" t="s">
        <v>1592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1000</v>
      </c>
      <c r="Q752">
        <v>1000</v>
      </c>
      <c r="R752">
        <v>2300</v>
      </c>
      <c r="S752">
        <f t="shared" si="11"/>
        <v>4300</v>
      </c>
      <c r="T752">
        <v>0</v>
      </c>
      <c r="U752">
        <v>0</v>
      </c>
      <c r="V752">
        <v>1000</v>
      </c>
      <c r="W752">
        <v>5300</v>
      </c>
    </row>
    <row r="753" spans="1:23" ht="12.75">
      <c r="A753" t="s">
        <v>1187</v>
      </c>
      <c r="B753" t="s">
        <v>1188</v>
      </c>
      <c r="C753" t="s">
        <v>1189</v>
      </c>
      <c r="D753" t="s">
        <v>1190</v>
      </c>
      <c r="F753" t="s">
        <v>1592</v>
      </c>
      <c r="G753">
        <v>0</v>
      </c>
      <c r="H753">
        <v>0</v>
      </c>
      <c r="I753">
        <v>1</v>
      </c>
      <c r="J753">
        <v>0</v>
      </c>
      <c r="K753">
        <v>45360</v>
      </c>
      <c r="L753">
        <v>0</v>
      </c>
      <c r="M753">
        <v>44622</v>
      </c>
      <c r="N753">
        <v>0</v>
      </c>
      <c r="O753">
        <v>11342</v>
      </c>
      <c r="P753">
        <v>225646</v>
      </c>
      <c r="Q753">
        <v>100</v>
      </c>
      <c r="R753">
        <v>0</v>
      </c>
      <c r="S753">
        <f t="shared" si="11"/>
        <v>225746</v>
      </c>
      <c r="T753">
        <v>0</v>
      </c>
      <c r="U753">
        <v>127</v>
      </c>
      <c r="V753">
        <v>689</v>
      </c>
      <c r="W753">
        <v>327886</v>
      </c>
    </row>
    <row r="754" spans="1:23" ht="12.75">
      <c r="A754" t="s">
        <v>1191</v>
      </c>
      <c r="B754" t="s">
        <v>1192</v>
      </c>
      <c r="C754" t="s">
        <v>1116</v>
      </c>
      <c r="D754" t="s">
        <v>1193</v>
      </c>
      <c r="F754" t="s">
        <v>1592</v>
      </c>
      <c r="G754">
        <v>2</v>
      </c>
      <c r="H754">
        <v>0</v>
      </c>
      <c r="I754">
        <v>7</v>
      </c>
      <c r="J754">
        <v>0</v>
      </c>
      <c r="K754">
        <v>302676</v>
      </c>
      <c r="L754">
        <v>0</v>
      </c>
      <c r="M754">
        <v>9150</v>
      </c>
      <c r="N754">
        <v>0</v>
      </c>
      <c r="O754">
        <v>110460</v>
      </c>
      <c r="P754">
        <v>147920</v>
      </c>
      <c r="Q754">
        <v>0</v>
      </c>
      <c r="R754">
        <v>0</v>
      </c>
      <c r="S754">
        <f t="shared" si="11"/>
        <v>147920</v>
      </c>
      <c r="T754">
        <v>0</v>
      </c>
      <c r="U754">
        <v>0</v>
      </c>
      <c r="V754">
        <v>0</v>
      </c>
      <c r="W754">
        <v>570206</v>
      </c>
    </row>
    <row r="755" spans="1:23" ht="12.75">
      <c r="A755" t="s">
        <v>1194</v>
      </c>
      <c r="B755" t="s">
        <v>1195</v>
      </c>
      <c r="C755" t="s">
        <v>1123</v>
      </c>
      <c r="D755" t="s">
        <v>1196</v>
      </c>
      <c r="F755" t="s">
        <v>1592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1140</v>
      </c>
      <c r="Q755">
        <v>1100</v>
      </c>
      <c r="R755">
        <v>0</v>
      </c>
      <c r="S755">
        <f t="shared" si="11"/>
        <v>2240</v>
      </c>
      <c r="T755">
        <v>0</v>
      </c>
      <c r="U755">
        <v>4650</v>
      </c>
      <c r="V755">
        <v>0</v>
      </c>
      <c r="W755">
        <v>6890</v>
      </c>
    </row>
    <row r="756" spans="1:23" ht="12.75">
      <c r="A756" t="s">
        <v>1197</v>
      </c>
      <c r="B756" t="s">
        <v>1198</v>
      </c>
      <c r="C756" t="s">
        <v>3191</v>
      </c>
      <c r="D756" t="s">
        <v>1199</v>
      </c>
      <c r="F756" t="s">
        <v>1592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23000</v>
      </c>
      <c r="N756">
        <v>5000</v>
      </c>
      <c r="O756">
        <v>380</v>
      </c>
      <c r="P756">
        <v>125000</v>
      </c>
      <c r="Q756">
        <v>75</v>
      </c>
      <c r="R756">
        <v>100000</v>
      </c>
      <c r="S756">
        <f t="shared" si="11"/>
        <v>225075</v>
      </c>
      <c r="T756">
        <v>0</v>
      </c>
      <c r="U756">
        <v>0</v>
      </c>
      <c r="V756">
        <v>1500</v>
      </c>
      <c r="W756">
        <v>254955</v>
      </c>
    </row>
    <row r="757" spans="1:23" ht="12.75">
      <c r="A757" t="s">
        <v>1200</v>
      </c>
      <c r="B757" t="s">
        <v>1201</v>
      </c>
      <c r="C757" t="s">
        <v>3191</v>
      </c>
      <c r="D757" t="s">
        <v>1202</v>
      </c>
      <c r="F757" t="s">
        <v>1592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28000</v>
      </c>
      <c r="Q757">
        <v>500</v>
      </c>
      <c r="R757">
        <v>1000</v>
      </c>
      <c r="S757">
        <f t="shared" si="11"/>
        <v>29500</v>
      </c>
      <c r="T757">
        <v>2000</v>
      </c>
      <c r="U757">
        <v>0</v>
      </c>
      <c r="V757">
        <v>300</v>
      </c>
      <c r="W757">
        <v>31800</v>
      </c>
    </row>
    <row r="758" spans="1:23" ht="12.75">
      <c r="A758" t="s">
        <v>1203</v>
      </c>
      <c r="B758" t="s">
        <v>1204</v>
      </c>
      <c r="C758" t="s">
        <v>3191</v>
      </c>
      <c r="D758" t="s">
        <v>1205</v>
      </c>
      <c r="F758" t="s">
        <v>1592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6000</v>
      </c>
      <c r="N758">
        <v>0</v>
      </c>
      <c r="O758">
        <v>0</v>
      </c>
      <c r="P758">
        <v>16000</v>
      </c>
      <c r="Q758">
        <v>36000</v>
      </c>
      <c r="R758">
        <v>0</v>
      </c>
      <c r="S758">
        <f t="shared" si="11"/>
        <v>52000</v>
      </c>
      <c r="T758">
        <v>0</v>
      </c>
      <c r="U758">
        <v>4000</v>
      </c>
      <c r="V758">
        <v>0</v>
      </c>
      <c r="W758">
        <v>62000</v>
      </c>
    </row>
    <row r="759" spans="1:23" ht="12.75">
      <c r="A759" t="s">
        <v>1206</v>
      </c>
      <c r="B759" t="s">
        <v>1207</v>
      </c>
      <c r="C759" t="s">
        <v>3191</v>
      </c>
      <c r="D759" t="s">
        <v>1208</v>
      </c>
      <c r="F759" t="s">
        <v>1592</v>
      </c>
      <c r="G759">
        <v>0</v>
      </c>
      <c r="H759">
        <v>0</v>
      </c>
      <c r="I759">
        <v>1</v>
      </c>
      <c r="J759">
        <v>0</v>
      </c>
      <c r="K759">
        <v>18720</v>
      </c>
      <c r="L759">
        <v>0</v>
      </c>
      <c r="M759">
        <v>23000</v>
      </c>
      <c r="N759">
        <v>0</v>
      </c>
      <c r="O759">
        <v>6020</v>
      </c>
      <c r="P759">
        <v>17000</v>
      </c>
      <c r="Q759">
        <v>6000</v>
      </c>
      <c r="R759">
        <v>2500</v>
      </c>
      <c r="S759">
        <f t="shared" si="11"/>
        <v>25500</v>
      </c>
      <c r="T759">
        <v>0</v>
      </c>
      <c r="U759">
        <v>0</v>
      </c>
      <c r="V759">
        <v>500</v>
      </c>
      <c r="W759">
        <v>73740</v>
      </c>
    </row>
    <row r="760" spans="1:23" ht="12.75">
      <c r="A760" t="s">
        <v>1209</v>
      </c>
      <c r="B760" t="s">
        <v>1210</v>
      </c>
      <c r="C760" t="s">
        <v>3191</v>
      </c>
      <c r="D760" t="s">
        <v>1211</v>
      </c>
      <c r="F760" t="s">
        <v>1592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3511</v>
      </c>
      <c r="P760">
        <v>121000</v>
      </c>
      <c r="Q760">
        <v>0</v>
      </c>
      <c r="R760">
        <v>0</v>
      </c>
      <c r="S760">
        <f t="shared" si="11"/>
        <v>121000</v>
      </c>
      <c r="T760">
        <v>0</v>
      </c>
      <c r="U760">
        <v>0</v>
      </c>
      <c r="V760">
        <v>0</v>
      </c>
      <c r="W760">
        <v>124511</v>
      </c>
    </row>
    <row r="761" spans="1:23" ht="12.75">
      <c r="A761" t="s">
        <v>1212</v>
      </c>
      <c r="B761" t="s">
        <v>1213</v>
      </c>
      <c r="C761" t="s">
        <v>3191</v>
      </c>
      <c r="D761" t="s">
        <v>1214</v>
      </c>
      <c r="F761" t="s">
        <v>1592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22000</v>
      </c>
      <c r="Q761">
        <v>0</v>
      </c>
      <c r="R761">
        <v>0</v>
      </c>
      <c r="S761">
        <f t="shared" si="11"/>
        <v>22000</v>
      </c>
      <c r="T761">
        <v>0</v>
      </c>
      <c r="U761">
        <v>0</v>
      </c>
      <c r="V761">
        <v>0</v>
      </c>
      <c r="W761">
        <v>22000</v>
      </c>
    </row>
    <row r="762" spans="1:23" ht="12.75">
      <c r="A762" t="s">
        <v>1215</v>
      </c>
      <c r="B762" t="s">
        <v>1216</v>
      </c>
      <c r="C762" t="s">
        <v>1217</v>
      </c>
      <c r="D762" t="s">
        <v>1218</v>
      </c>
      <c r="F762" t="s">
        <v>1592</v>
      </c>
      <c r="G762">
        <v>1</v>
      </c>
      <c r="H762">
        <v>0</v>
      </c>
      <c r="I762">
        <v>5</v>
      </c>
      <c r="J762">
        <v>0</v>
      </c>
      <c r="K762">
        <v>226848</v>
      </c>
      <c r="L762">
        <v>0</v>
      </c>
      <c r="M762">
        <v>56369</v>
      </c>
      <c r="N762">
        <v>0</v>
      </c>
      <c r="O762">
        <v>66551</v>
      </c>
      <c r="P762">
        <v>72860</v>
      </c>
      <c r="Q762">
        <v>7500</v>
      </c>
      <c r="R762">
        <v>0</v>
      </c>
      <c r="S762">
        <f t="shared" si="11"/>
        <v>80360</v>
      </c>
      <c r="T762">
        <v>0</v>
      </c>
      <c r="U762">
        <v>2000</v>
      </c>
      <c r="V762">
        <v>21000</v>
      </c>
      <c r="W762">
        <v>453128</v>
      </c>
    </row>
    <row r="763" spans="1:23" ht="12.75">
      <c r="A763" t="s">
        <v>1219</v>
      </c>
      <c r="B763" t="s">
        <v>1220</v>
      </c>
      <c r="C763" t="s">
        <v>3191</v>
      </c>
      <c r="D763" t="s">
        <v>1221</v>
      </c>
      <c r="F763" t="s">
        <v>1592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3000</v>
      </c>
      <c r="Q763">
        <v>0</v>
      </c>
      <c r="R763">
        <v>500</v>
      </c>
      <c r="S763">
        <f t="shared" si="11"/>
        <v>3500</v>
      </c>
      <c r="T763">
        <v>0</v>
      </c>
      <c r="U763">
        <v>0</v>
      </c>
      <c r="V763">
        <v>0</v>
      </c>
      <c r="W763">
        <v>3500</v>
      </c>
    </row>
    <row r="764" spans="1:23" ht="12.75">
      <c r="A764" t="s">
        <v>1222</v>
      </c>
      <c r="B764" t="s">
        <v>1223</v>
      </c>
      <c r="C764" t="s">
        <v>3191</v>
      </c>
      <c r="D764" t="s">
        <v>1224</v>
      </c>
      <c r="F764" t="s">
        <v>1592</v>
      </c>
      <c r="G764">
        <v>0</v>
      </c>
      <c r="H764">
        <v>0</v>
      </c>
      <c r="I764">
        <v>1</v>
      </c>
      <c r="J764">
        <v>0</v>
      </c>
      <c r="K764">
        <v>18636</v>
      </c>
      <c r="L764">
        <v>0</v>
      </c>
      <c r="M764">
        <v>18000</v>
      </c>
      <c r="N764">
        <v>0</v>
      </c>
      <c r="O764">
        <v>5580</v>
      </c>
      <c r="P764">
        <v>36500</v>
      </c>
      <c r="Q764">
        <v>0</v>
      </c>
      <c r="R764">
        <v>0</v>
      </c>
      <c r="S764">
        <f t="shared" si="11"/>
        <v>36500</v>
      </c>
      <c r="T764">
        <v>0</v>
      </c>
      <c r="U764">
        <v>0</v>
      </c>
      <c r="V764">
        <v>100</v>
      </c>
      <c r="W764">
        <v>78816</v>
      </c>
    </row>
    <row r="765" spans="1:23" ht="12.75">
      <c r="A765" t="s">
        <v>1225</v>
      </c>
      <c r="B765" t="s">
        <v>1226</v>
      </c>
      <c r="C765" t="s">
        <v>3191</v>
      </c>
      <c r="D765" t="s">
        <v>1227</v>
      </c>
      <c r="F765" t="s">
        <v>1592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2500</v>
      </c>
      <c r="N765">
        <v>0</v>
      </c>
      <c r="O765">
        <v>200</v>
      </c>
      <c r="P765">
        <v>6000</v>
      </c>
      <c r="Q765">
        <v>1250</v>
      </c>
      <c r="R765">
        <v>4500</v>
      </c>
      <c r="S765">
        <f t="shared" si="11"/>
        <v>11750</v>
      </c>
      <c r="T765">
        <v>0</v>
      </c>
      <c r="U765">
        <v>0</v>
      </c>
      <c r="V765">
        <v>2000</v>
      </c>
      <c r="W765">
        <v>16450</v>
      </c>
    </row>
    <row r="766" spans="1:23" ht="12.75">
      <c r="A766" t="s">
        <v>1228</v>
      </c>
      <c r="B766" t="s">
        <v>1229</v>
      </c>
      <c r="C766" t="s">
        <v>3191</v>
      </c>
      <c r="D766" t="s">
        <v>1230</v>
      </c>
      <c r="F766" t="s">
        <v>1592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57000</v>
      </c>
      <c r="Q766">
        <v>0</v>
      </c>
      <c r="R766">
        <v>0</v>
      </c>
      <c r="S766">
        <f t="shared" si="11"/>
        <v>57000</v>
      </c>
      <c r="T766">
        <v>0</v>
      </c>
      <c r="U766">
        <v>0</v>
      </c>
      <c r="V766">
        <v>0</v>
      </c>
      <c r="W766">
        <v>57000</v>
      </c>
    </row>
    <row r="767" spans="1:23" ht="12.75">
      <c r="A767" t="s">
        <v>1231</v>
      </c>
      <c r="B767" t="s">
        <v>1232</v>
      </c>
      <c r="C767" t="s">
        <v>3191</v>
      </c>
      <c r="D767" t="s">
        <v>1233</v>
      </c>
      <c r="F767" t="s">
        <v>1592</v>
      </c>
      <c r="G767">
        <v>0</v>
      </c>
      <c r="H767">
        <v>0</v>
      </c>
      <c r="I767">
        <v>3</v>
      </c>
      <c r="J767">
        <v>0.582</v>
      </c>
      <c r="K767">
        <v>102948</v>
      </c>
      <c r="L767">
        <v>0</v>
      </c>
      <c r="M767">
        <v>48000</v>
      </c>
      <c r="N767">
        <v>0</v>
      </c>
      <c r="O767">
        <v>23788</v>
      </c>
      <c r="P767">
        <v>74500</v>
      </c>
      <c r="Q767">
        <v>500</v>
      </c>
      <c r="R767">
        <v>10000</v>
      </c>
      <c r="S767">
        <f t="shared" si="11"/>
        <v>85000</v>
      </c>
      <c r="T767">
        <v>0</v>
      </c>
      <c r="U767">
        <v>0</v>
      </c>
      <c r="V767">
        <v>0</v>
      </c>
      <c r="W767">
        <v>259736</v>
      </c>
    </row>
    <row r="768" spans="1:23" ht="12.75">
      <c r="A768" t="s">
        <v>1234</v>
      </c>
      <c r="B768" t="s">
        <v>1235</v>
      </c>
      <c r="C768" t="s">
        <v>3191</v>
      </c>
      <c r="D768" t="s">
        <v>1236</v>
      </c>
      <c r="F768" t="s">
        <v>1592</v>
      </c>
      <c r="G768">
        <v>0</v>
      </c>
      <c r="H768">
        <v>0</v>
      </c>
      <c r="I768">
        <v>0</v>
      </c>
      <c r="J768">
        <v>1</v>
      </c>
      <c r="K768">
        <v>4526</v>
      </c>
      <c r="L768">
        <v>0</v>
      </c>
      <c r="M768">
        <v>45000</v>
      </c>
      <c r="N768">
        <v>0</v>
      </c>
      <c r="O768">
        <v>2800</v>
      </c>
      <c r="P768">
        <v>45000</v>
      </c>
      <c r="Q768">
        <v>8000</v>
      </c>
      <c r="R768">
        <v>10000</v>
      </c>
      <c r="S768">
        <f t="shared" si="11"/>
        <v>63000</v>
      </c>
      <c r="T768">
        <v>1000</v>
      </c>
      <c r="U768">
        <v>500</v>
      </c>
      <c r="V768">
        <v>1000</v>
      </c>
      <c r="W768">
        <v>117826</v>
      </c>
    </row>
    <row r="769" spans="1:23" ht="12.75">
      <c r="A769" t="s">
        <v>1237</v>
      </c>
      <c r="B769" t="s">
        <v>1238</v>
      </c>
      <c r="C769" t="s">
        <v>3191</v>
      </c>
      <c r="D769" t="s">
        <v>1239</v>
      </c>
      <c r="F769" t="s">
        <v>1592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3000</v>
      </c>
      <c r="N769">
        <v>0</v>
      </c>
      <c r="O769">
        <v>90</v>
      </c>
      <c r="P769">
        <v>2000</v>
      </c>
      <c r="Q769">
        <v>500</v>
      </c>
      <c r="R769">
        <v>1250</v>
      </c>
      <c r="S769">
        <f t="shared" si="11"/>
        <v>3750</v>
      </c>
      <c r="T769">
        <v>0</v>
      </c>
      <c r="U769">
        <v>0</v>
      </c>
      <c r="V769">
        <v>100</v>
      </c>
      <c r="W769">
        <v>6940</v>
      </c>
    </row>
    <row r="770" spans="1:23" ht="12.75">
      <c r="A770" t="s">
        <v>1240</v>
      </c>
      <c r="B770" t="s">
        <v>1241</v>
      </c>
      <c r="C770" t="s">
        <v>3191</v>
      </c>
      <c r="D770" t="s">
        <v>1242</v>
      </c>
      <c r="F770" t="s">
        <v>1592</v>
      </c>
      <c r="G770">
        <v>0</v>
      </c>
      <c r="H770">
        <v>0</v>
      </c>
      <c r="I770">
        <v>4</v>
      </c>
      <c r="J770">
        <v>0</v>
      </c>
      <c r="K770">
        <v>102828</v>
      </c>
      <c r="L770">
        <v>0</v>
      </c>
      <c r="M770">
        <v>29000</v>
      </c>
      <c r="N770">
        <v>0</v>
      </c>
      <c r="O770">
        <v>17417</v>
      </c>
      <c r="P770">
        <v>60000</v>
      </c>
      <c r="Q770">
        <v>10000</v>
      </c>
      <c r="R770">
        <v>9500</v>
      </c>
      <c r="S770">
        <f t="shared" si="11"/>
        <v>79500</v>
      </c>
      <c r="T770">
        <v>0</v>
      </c>
      <c r="U770">
        <v>0</v>
      </c>
      <c r="V770">
        <v>2500</v>
      </c>
      <c r="W770">
        <v>231245</v>
      </c>
    </row>
    <row r="771" spans="1:23" ht="12.75">
      <c r="A771" t="s">
        <v>1243</v>
      </c>
      <c r="B771" t="s">
        <v>1244</v>
      </c>
      <c r="C771" t="s">
        <v>3191</v>
      </c>
      <c r="D771" t="s">
        <v>1245</v>
      </c>
      <c r="F771" t="s">
        <v>1592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3000</v>
      </c>
      <c r="Q771">
        <v>0</v>
      </c>
      <c r="R771">
        <v>0</v>
      </c>
      <c r="S771">
        <f t="shared" si="11"/>
        <v>3000</v>
      </c>
      <c r="T771">
        <v>0</v>
      </c>
      <c r="U771">
        <v>0</v>
      </c>
      <c r="V771">
        <v>0</v>
      </c>
      <c r="W771">
        <v>3000</v>
      </c>
    </row>
    <row r="772" spans="1:23" ht="12.75">
      <c r="A772" t="s">
        <v>1246</v>
      </c>
      <c r="B772" t="s">
        <v>1247</v>
      </c>
      <c r="C772" t="s">
        <v>3191</v>
      </c>
      <c r="D772" t="s">
        <v>1248</v>
      </c>
      <c r="F772" t="s">
        <v>1592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500</v>
      </c>
      <c r="Q772">
        <v>0</v>
      </c>
      <c r="R772">
        <v>1500</v>
      </c>
      <c r="S772">
        <f t="shared" si="11"/>
        <v>2000</v>
      </c>
      <c r="T772">
        <v>0</v>
      </c>
      <c r="U772">
        <v>0</v>
      </c>
      <c r="V772">
        <v>0</v>
      </c>
      <c r="W772">
        <v>2000</v>
      </c>
    </row>
    <row r="773" spans="1:23" ht="12.75">
      <c r="A773" t="s">
        <v>1249</v>
      </c>
      <c r="B773" t="s">
        <v>1250</v>
      </c>
      <c r="C773" t="s">
        <v>3191</v>
      </c>
      <c r="D773" t="s">
        <v>1251</v>
      </c>
      <c r="F773" t="s">
        <v>1592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750</v>
      </c>
      <c r="N773">
        <v>0</v>
      </c>
      <c r="O773">
        <v>114</v>
      </c>
      <c r="P773">
        <v>1250</v>
      </c>
      <c r="Q773">
        <v>500</v>
      </c>
      <c r="R773">
        <v>0</v>
      </c>
      <c r="S773">
        <f t="shared" si="11"/>
        <v>1750</v>
      </c>
      <c r="T773">
        <v>0</v>
      </c>
      <c r="U773">
        <v>0</v>
      </c>
      <c r="V773">
        <v>0</v>
      </c>
      <c r="W773">
        <v>2614</v>
      </c>
    </row>
    <row r="774" spans="1:23" ht="12.75">
      <c r="A774" t="s">
        <v>1252</v>
      </c>
      <c r="B774" t="s">
        <v>1253</v>
      </c>
      <c r="C774" t="s">
        <v>3191</v>
      </c>
      <c r="D774" t="s">
        <v>1254</v>
      </c>
      <c r="F774" t="s">
        <v>1592</v>
      </c>
      <c r="G774">
        <v>0</v>
      </c>
      <c r="H774">
        <v>0</v>
      </c>
      <c r="I774">
        <v>1</v>
      </c>
      <c r="J774">
        <v>0</v>
      </c>
      <c r="K774">
        <v>23580</v>
      </c>
      <c r="L774">
        <v>0</v>
      </c>
      <c r="M774">
        <v>4550</v>
      </c>
      <c r="N774">
        <v>0</v>
      </c>
      <c r="O774">
        <v>0</v>
      </c>
      <c r="P774">
        <v>12973</v>
      </c>
      <c r="Q774">
        <v>0</v>
      </c>
      <c r="R774">
        <v>0</v>
      </c>
      <c r="S774">
        <f t="shared" si="11"/>
        <v>12973</v>
      </c>
      <c r="T774">
        <v>0</v>
      </c>
      <c r="U774">
        <v>0</v>
      </c>
      <c r="V774">
        <v>0</v>
      </c>
      <c r="W774">
        <v>41103</v>
      </c>
    </row>
    <row r="775" spans="1:23" ht="12.75">
      <c r="A775" t="s">
        <v>1469</v>
      </c>
      <c r="B775" t="s">
        <v>1470</v>
      </c>
      <c r="C775" t="s">
        <v>1356</v>
      </c>
      <c r="D775" t="s">
        <v>1471</v>
      </c>
      <c r="F775" t="s">
        <v>1592</v>
      </c>
      <c r="G775">
        <v>0</v>
      </c>
      <c r="H775">
        <v>0</v>
      </c>
      <c r="I775">
        <v>1</v>
      </c>
      <c r="J775">
        <v>0.037</v>
      </c>
      <c r="K775">
        <v>20184</v>
      </c>
      <c r="L775">
        <v>1000</v>
      </c>
      <c r="M775">
        <v>44329</v>
      </c>
      <c r="N775">
        <v>0</v>
      </c>
      <c r="O775">
        <v>15627</v>
      </c>
      <c r="P775">
        <v>301200</v>
      </c>
      <c r="Q775">
        <v>0</v>
      </c>
      <c r="R775">
        <v>0</v>
      </c>
      <c r="S775">
        <f t="shared" si="11"/>
        <v>301200</v>
      </c>
      <c r="T775">
        <v>0</v>
      </c>
      <c r="U775">
        <v>0</v>
      </c>
      <c r="V775">
        <v>31000</v>
      </c>
      <c r="W775">
        <v>413340</v>
      </c>
    </row>
    <row r="776" spans="1:23" ht="12.75">
      <c r="A776" t="s">
        <v>1472</v>
      </c>
      <c r="B776" t="s">
        <v>1473</v>
      </c>
      <c r="C776" t="s">
        <v>1356</v>
      </c>
      <c r="D776" t="s">
        <v>1474</v>
      </c>
      <c r="F776" t="s">
        <v>1592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38400</v>
      </c>
      <c r="Q776">
        <v>5000</v>
      </c>
      <c r="R776">
        <v>0</v>
      </c>
      <c r="S776">
        <f t="shared" si="11"/>
        <v>43400</v>
      </c>
      <c r="T776">
        <v>0</v>
      </c>
      <c r="U776">
        <v>429750</v>
      </c>
      <c r="V776">
        <v>198793</v>
      </c>
      <c r="W776">
        <v>671943</v>
      </c>
    </row>
    <row r="777" spans="1:23" ht="12.75">
      <c r="A777" t="s">
        <v>1255</v>
      </c>
      <c r="B777" t="s">
        <v>1256</v>
      </c>
      <c r="C777" t="s">
        <v>3191</v>
      </c>
      <c r="D777" t="s">
        <v>1257</v>
      </c>
      <c r="F777" t="s">
        <v>1592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24000</v>
      </c>
      <c r="Q777">
        <v>4541</v>
      </c>
      <c r="R777">
        <v>1432</v>
      </c>
      <c r="S777">
        <f t="shared" si="11"/>
        <v>29973</v>
      </c>
      <c r="T777">
        <v>0</v>
      </c>
      <c r="U777">
        <v>0</v>
      </c>
      <c r="V777">
        <v>500</v>
      </c>
      <c r="W777">
        <v>30473</v>
      </c>
    </row>
    <row r="778" spans="1:23" ht="12.75">
      <c r="A778" t="s">
        <v>1258</v>
      </c>
      <c r="B778" t="s">
        <v>1259</v>
      </c>
      <c r="C778" t="s">
        <v>3191</v>
      </c>
      <c r="D778" t="s">
        <v>1260</v>
      </c>
      <c r="F778" t="s">
        <v>1592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1500</v>
      </c>
      <c r="N778">
        <v>0</v>
      </c>
      <c r="O778">
        <v>0</v>
      </c>
      <c r="P778">
        <v>40000</v>
      </c>
      <c r="Q778">
        <v>3500</v>
      </c>
      <c r="R778">
        <v>3000</v>
      </c>
      <c r="S778">
        <f t="shared" si="11"/>
        <v>46500</v>
      </c>
      <c r="T778">
        <v>0</v>
      </c>
      <c r="U778">
        <v>0</v>
      </c>
      <c r="V778">
        <v>1000</v>
      </c>
      <c r="W778">
        <v>49000</v>
      </c>
    </row>
    <row r="779" spans="1:23" ht="12.75">
      <c r="A779" t="s">
        <v>1261</v>
      </c>
      <c r="B779" t="s">
        <v>1262</v>
      </c>
      <c r="C779" t="s">
        <v>3191</v>
      </c>
      <c r="D779" t="s">
        <v>1263</v>
      </c>
      <c r="F779" t="s">
        <v>1592</v>
      </c>
      <c r="G779">
        <v>0</v>
      </c>
      <c r="H779">
        <v>0</v>
      </c>
      <c r="I779">
        <v>0</v>
      </c>
      <c r="J779">
        <v>1</v>
      </c>
      <c r="K779">
        <v>14004</v>
      </c>
      <c r="L779">
        <v>0</v>
      </c>
      <c r="M779">
        <v>0</v>
      </c>
      <c r="N779">
        <v>0</v>
      </c>
      <c r="O779">
        <v>0</v>
      </c>
      <c r="P779">
        <v>11000</v>
      </c>
      <c r="Q779">
        <v>0</v>
      </c>
      <c r="R779">
        <v>0</v>
      </c>
      <c r="S779">
        <f aca="true" t="shared" si="12" ref="S779:S842">SUM(P779:R779)</f>
        <v>11000</v>
      </c>
      <c r="T779">
        <v>0</v>
      </c>
      <c r="U779">
        <v>0</v>
      </c>
      <c r="V779">
        <v>0</v>
      </c>
      <c r="W779">
        <v>25004</v>
      </c>
    </row>
    <row r="780" spans="1:23" ht="12.75">
      <c r="A780" t="s">
        <v>1264</v>
      </c>
      <c r="B780" t="s">
        <v>1265</v>
      </c>
      <c r="C780" t="s">
        <v>3191</v>
      </c>
      <c r="D780" t="s">
        <v>1266</v>
      </c>
      <c r="F780" t="s">
        <v>1592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1000</v>
      </c>
      <c r="Q780">
        <v>1500</v>
      </c>
      <c r="R780">
        <v>0</v>
      </c>
      <c r="S780">
        <f t="shared" si="12"/>
        <v>2500</v>
      </c>
      <c r="T780">
        <v>0</v>
      </c>
      <c r="U780">
        <v>0</v>
      </c>
      <c r="V780">
        <v>1000</v>
      </c>
      <c r="W780">
        <v>3500</v>
      </c>
    </row>
    <row r="781" spans="1:23" ht="12.75">
      <c r="A781" t="s">
        <v>1267</v>
      </c>
      <c r="B781" t="s">
        <v>1268</v>
      </c>
      <c r="C781" t="s">
        <v>3191</v>
      </c>
      <c r="D781" t="s">
        <v>1269</v>
      </c>
      <c r="F781" t="s">
        <v>1592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10000</v>
      </c>
      <c r="N781">
        <v>0</v>
      </c>
      <c r="O781">
        <v>3040</v>
      </c>
      <c r="P781">
        <v>10000</v>
      </c>
      <c r="Q781">
        <v>25000</v>
      </c>
      <c r="R781">
        <v>0</v>
      </c>
      <c r="S781">
        <f t="shared" si="12"/>
        <v>35000</v>
      </c>
      <c r="T781">
        <v>1000</v>
      </c>
      <c r="U781">
        <v>1000</v>
      </c>
      <c r="V781">
        <v>30000</v>
      </c>
      <c r="W781">
        <v>80040</v>
      </c>
    </row>
    <row r="782" spans="1:23" ht="12.75">
      <c r="A782" t="s">
        <v>1270</v>
      </c>
      <c r="B782" t="s">
        <v>1271</v>
      </c>
      <c r="C782" t="s">
        <v>3191</v>
      </c>
      <c r="D782" t="s">
        <v>1272</v>
      </c>
      <c r="F782" t="s">
        <v>1592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20000</v>
      </c>
      <c r="N782">
        <v>0</v>
      </c>
      <c r="O782">
        <v>7560</v>
      </c>
      <c r="P782">
        <v>40000</v>
      </c>
      <c r="Q782">
        <v>3500</v>
      </c>
      <c r="R782">
        <v>25000</v>
      </c>
      <c r="S782">
        <f t="shared" si="12"/>
        <v>68500</v>
      </c>
      <c r="T782">
        <v>0</v>
      </c>
      <c r="U782">
        <v>1000</v>
      </c>
      <c r="V782">
        <v>0</v>
      </c>
      <c r="W782">
        <v>97060</v>
      </c>
    </row>
    <row r="783" spans="1:23" ht="12.75">
      <c r="A783" t="s">
        <v>1273</v>
      </c>
      <c r="B783" t="s">
        <v>1274</v>
      </c>
      <c r="C783" t="s">
        <v>3191</v>
      </c>
      <c r="D783" t="s">
        <v>1275</v>
      </c>
      <c r="F783" t="s">
        <v>1592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18000</v>
      </c>
      <c r="N783">
        <v>0</v>
      </c>
      <c r="O783">
        <v>2028</v>
      </c>
      <c r="P783">
        <v>2000</v>
      </c>
      <c r="Q783">
        <v>0</v>
      </c>
      <c r="R783">
        <v>0</v>
      </c>
      <c r="S783">
        <f t="shared" si="12"/>
        <v>2000</v>
      </c>
      <c r="T783">
        <v>0</v>
      </c>
      <c r="U783">
        <v>0</v>
      </c>
      <c r="V783">
        <v>0</v>
      </c>
      <c r="W783">
        <v>22028</v>
      </c>
    </row>
    <row r="784" spans="1:23" ht="12.75">
      <c r="A784" t="s">
        <v>1276</v>
      </c>
      <c r="B784" t="s">
        <v>1277</v>
      </c>
      <c r="C784" t="s">
        <v>3191</v>
      </c>
      <c r="D784" t="s">
        <v>1278</v>
      </c>
      <c r="F784" t="s">
        <v>1592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1250</v>
      </c>
      <c r="Q784">
        <v>2000</v>
      </c>
      <c r="R784">
        <v>0</v>
      </c>
      <c r="S784">
        <f t="shared" si="12"/>
        <v>3250</v>
      </c>
      <c r="T784">
        <v>0</v>
      </c>
      <c r="U784">
        <v>0</v>
      </c>
      <c r="V784">
        <v>0</v>
      </c>
      <c r="W784">
        <v>3250</v>
      </c>
    </row>
    <row r="785" spans="1:23" ht="12.75">
      <c r="A785" t="s">
        <v>1279</v>
      </c>
      <c r="B785" t="s">
        <v>1280</v>
      </c>
      <c r="C785" t="s">
        <v>3191</v>
      </c>
      <c r="D785" t="s">
        <v>1281</v>
      </c>
      <c r="F785" t="s">
        <v>1592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27000</v>
      </c>
      <c r="Q785">
        <v>0</v>
      </c>
      <c r="R785">
        <v>0</v>
      </c>
      <c r="S785">
        <f t="shared" si="12"/>
        <v>27000</v>
      </c>
      <c r="T785">
        <v>0</v>
      </c>
      <c r="U785">
        <v>0</v>
      </c>
      <c r="V785">
        <v>0</v>
      </c>
      <c r="W785">
        <v>27000</v>
      </c>
    </row>
    <row r="786" spans="1:23" ht="12.75">
      <c r="A786" t="s">
        <v>1282</v>
      </c>
      <c r="B786" t="s">
        <v>3164</v>
      </c>
      <c r="C786" t="s">
        <v>1189</v>
      </c>
      <c r="D786" t="s">
        <v>1283</v>
      </c>
      <c r="F786" t="s">
        <v>1592</v>
      </c>
      <c r="G786">
        <v>0</v>
      </c>
      <c r="H786">
        <v>0</v>
      </c>
      <c r="I786">
        <v>2</v>
      </c>
      <c r="J786">
        <v>0</v>
      </c>
      <c r="K786">
        <v>66072</v>
      </c>
      <c r="L786">
        <v>0</v>
      </c>
      <c r="M786">
        <v>18572</v>
      </c>
      <c r="N786">
        <v>0</v>
      </c>
      <c r="O786">
        <v>1077</v>
      </c>
      <c r="P786">
        <v>9658</v>
      </c>
      <c r="Q786">
        <v>5156</v>
      </c>
      <c r="R786">
        <v>5401</v>
      </c>
      <c r="S786">
        <f t="shared" si="12"/>
        <v>20215</v>
      </c>
      <c r="T786">
        <v>0</v>
      </c>
      <c r="U786">
        <v>1125</v>
      </c>
      <c r="V786">
        <v>48848</v>
      </c>
      <c r="W786">
        <v>155909</v>
      </c>
    </row>
    <row r="787" spans="1:23" ht="12.75">
      <c r="A787" t="s">
        <v>1284</v>
      </c>
      <c r="B787" t="s">
        <v>1285</v>
      </c>
      <c r="C787" t="s">
        <v>3191</v>
      </c>
      <c r="D787" t="s">
        <v>1286</v>
      </c>
      <c r="F787" t="s">
        <v>1592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20000</v>
      </c>
      <c r="N787">
        <v>0</v>
      </c>
      <c r="O787">
        <v>600</v>
      </c>
      <c r="P787">
        <v>17500</v>
      </c>
      <c r="Q787">
        <v>350</v>
      </c>
      <c r="R787">
        <v>3500</v>
      </c>
      <c r="S787">
        <f t="shared" si="12"/>
        <v>21350</v>
      </c>
      <c r="T787">
        <v>0</v>
      </c>
      <c r="U787">
        <v>0</v>
      </c>
      <c r="V787">
        <v>100</v>
      </c>
      <c r="W787">
        <v>42050</v>
      </c>
    </row>
    <row r="788" spans="1:23" ht="12.75">
      <c r="A788" t="s">
        <v>1287</v>
      </c>
      <c r="B788" t="s">
        <v>1288</v>
      </c>
      <c r="C788" t="s">
        <v>3191</v>
      </c>
      <c r="D788" t="s">
        <v>1289</v>
      </c>
      <c r="F788" t="s">
        <v>1592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469</v>
      </c>
      <c r="S788">
        <f t="shared" si="12"/>
        <v>469</v>
      </c>
      <c r="T788">
        <v>0</v>
      </c>
      <c r="U788">
        <v>0</v>
      </c>
      <c r="V788">
        <v>0</v>
      </c>
      <c r="W788">
        <v>469</v>
      </c>
    </row>
    <row r="789" spans="1:23" ht="12.75">
      <c r="A789" t="s">
        <v>1290</v>
      </c>
      <c r="B789" t="s">
        <v>1291</v>
      </c>
      <c r="C789" t="s">
        <v>3191</v>
      </c>
      <c r="D789" t="s">
        <v>1292</v>
      </c>
      <c r="F789" t="s">
        <v>1592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3400</v>
      </c>
      <c r="Q789">
        <v>0</v>
      </c>
      <c r="R789">
        <v>0</v>
      </c>
      <c r="S789">
        <f t="shared" si="12"/>
        <v>3400</v>
      </c>
      <c r="T789">
        <v>0</v>
      </c>
      <c r="U789">
        <v>0</v>
      </c>
      <c r="V789">
        <v>0</v>
      </c>
      <c r="W789">
        <v>3400</v>
      </c>
    </row>
    <row r="790" spans="1:23" ht="12.75">
      <c r="A790" t="s">
        <v>1293</v>
      </c>
      <c r="B790" t="s">
        <v>1294</v>
      </c>
      <c r="C790" t="s">
        <v>3191</v>
      </c>
      <c r="D790" t="s">
        <v>1295</v>
      </c>
      <c r="F790" t="s">
        <v>1592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2500</v>
      </c>
      <c r="N790">
        <v>0</v>
      </c>
      <c r="O790">
        <v>340</v>
      </c>
      <c r="P790">
        <v>800</v>
      </c>
      <c r="Q790">
        <v>400</v>
      </c>
      <c r="R790">
        <v>0</v>
      </c>
      <c r="S790">
        <f t="shared" si="12"/>
        <v>1200</v>
      </c>
      <c r="T790">
        <v>0</v>
      </c>
      <c r="U790">
        <v>500</v>
      </c>
      <c r="V790">
        <v>0</v>
      </c>
      <c r="W790">
        <v>4540</v>
      </c>
    </row>
    <row r="791" spans="1:23" ht="12.75">
      <c r="A791" t="s">
        <v>1296</v>
      </c>
      <c r="B791" t="s">
        <v>1297</v>
      </c>
      <c r="C791" t="s">
        <v>3191</v>
      </c>
      <c r="D791" t="s">
        <v>1298</v>
      </c>
      <c r="F791" t="s">
        <v>1592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22325</v>
      </c>
      <c r="Q791">
        <v>5500</v>
      </c>
      <c r="R791">
        <v>1000</v>
      </c>
      <c r="S791">
        <f t="shared" si="12"/>
        <v>28825</v>
      </c>
      <c r="T791">
        <v>0</v>
      </c>
      <c r="U791">
        <v>3300</v>
      </c>
      <c r="V791">
        <v>798</v>
      </c>
      <c r="W791">
        <v>32923</v>
      </c>
    </row>
    <row r="792" spans="1:23" ht="12.75">
      <c r="A792" t="s">
        <v>1299</v>
      </c>
      <c r="B792" t="s">
        <v>1300</v>
      </c>
      <c r="C792" t="s">
        <v>3191</v>
      </c>
      <c r="D792" t="s">
        <v>1301</v>
      </c>
      <c r="F792" t="s">
        <v>1592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359.61</v>
      </c>
      <c r="Q792">
        <v>0</v>
      </c>
      <c r="R792">
        <v>0</v>
      </c>
      <c r="S792">
        <f t="shared" si="12"/>
        <v>359.61</v>
      </c>
      <c r="T792">
        <v>0</v>
      </c>
      <c r="U792">
        <v>0</v>
      </c>
      <c r="V792">
        <v>0</v>
      </c>
      <c r="W792">
        <v>359.61</v>
      </c>
    </row>
    <row r="793" spans="1:23" ht="12.75">
      <c r="A793" t="s">
        <v>1302</v>
      </c>
      <c r="B793" t="s">
        <v>1303</v>
      </c>
      <c r="C793" t="s">
        <v>3191</v>
      </c>
      <c r="D793" t="s">
        <v>1304</v>
      </c>
      <c r="F793" t="s">
        <v>1592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3500</v>
      </c>
      <c r="Q793">
        <v>0</v>
      </c>
      <c r="R793">
        <v>0</v>
      </c>
      <c r="S793">
        <f t="shared" si="12"/>
        <v>3500</v>
      </c>
      <c r="T793">
        <v>0</v>
      </c>
      <c r="U793">
        <v>0</v>
      </c>
      <c r="V793">
        <v>0</v>
      </c>
      <c r="W793">
        <v>3500</v>
      </c>
    </row>
    <row r="794" spans="1:23" ht="12.75">
      <c r="A794" t="s">
        <v>1305</v>
      </c>
      <c r="B794" t="s">
        <v>1307</v>
      </c>
      <c r="C794" t="s">
        <v>3191</v>
      </c>
      <c r="D794" t="s">
        <v>1308</v>
      </c>
      <c r="F794" t="s">
        <v>1592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16920</v>
      </c>
      <c r="N794">
        <v>0</v>
      </c>
      <c r="O794">
        <v>0</v>
      </c>
      <c r="P794">
        <v>124541</v>
      </c>
      <c r="Q794">
        <v>1000</v>
      </c>
      <c r="R794">
        <v>2000</v>
      </c>
      <c r="S794">
        <f t="shared" si="12"/>
        <v>127541</v>
      </c>
      <c r="T794">
        <v>0</v>
      </c>
      <c r="U794">
        <v>0</v>
      </c>
      <c r="V794">
        <v>0</v>
      </c>
      <c r="W794">
        <v>144461</v>
      </c>
    </row>
    <row r="795" spans="1:23" ht="12.75">
      <c r="A795" t="s">
        <v>1309</v>
      </c>
      <c r="B795" t="s">
        <v>1310</v>
      </c>
      <c r="C795" t="s">
        <v>3191</v>
      </c>
      <c r="D795" t="s">
        <v>1311</v>
      </c>
      <c r="F795" t="s">
        <v>1592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4402</v>
      </c>
      <c r="P795">
        <v>0</v>
      </c>
      <c r="Q795">
        <v>0</v>
      </c>
      <c r="R795">
        <v>0</v>
      </c>
      <c r="S795">
        <f t="shared" si="12"/>
        <v>0</v>
      </c>
      <c r="T795">
        <v>0</v>
      </c>
      <c r="U795">
        <v>0</v>
      </c>
      <c r="V795">
        <v>0</v>
      </c>
      <c r="W795">
        <v>4402</v>
      </c>
    </row>
    <row r="796" spans="1:23" ht="12.75">
      <c r="A796" t="s">
        <v>1312</v>
      </c>
      <c r="B796" t="s">
        <v>2603</v>
      </c>
      <c r="C796" t="s">
        <v>3191</v>
      </c>
      <c r="D796" t="s">
        <v>1313</v>
      </c>
      <c r="F796" t="s">
        <v>1592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4628</v>
      </c>
      <c r="N796">
        <v>0</v>
      </c>
      <c r="O796">
        <v>0</v>
      </c>
      <c r="P796">
        <v>10865</v>
      </c>
      <c r="Q796">
        <v>0</v>
      </c>
      <c r="R796">
        <v>0</v>
      </c>
      <c r="S796">
        <f t="shared" si="12"/>
        <v>10865</v>
      </c>
      <c r="T796">
        <v>0</v>
      </c>
      <c r="U796">
        <v>0</v>
      </c>
      <c r="V796">
        <v>0</v>
      </c>
      <c r="W796">
        <v>15493</v>
      </c>
    </row>
    <row r="797" spans="1:23" ht="12.75">
      <c r="A797" t="s">
        <v>1314</v>
      </c>
      <c r="B797" t="s">
        <v>1315</v>
      </c>
      <c r="C797" t="s">
        <v>3191</v>
      </c>
      <c r="D797" t="s">
        <v>1316</v>
      </c>
      <c r="F797" t="s">
        <v>1592</v>
      </c>
      <c r="G797">
        <v>0</v>
      </c>
      <c r="H797">
        <v>0</v>
      </c>
      <c r="I797">
        <v>1</v>
      </c>
      <c r="J797">
        <v>0</v>
      </c>
      <c r="K797">
        <v>23952</v>
      </c>
      <c r="L797">
        <v>0</v>
      </c>
      <c r="M797">
        <v>7058</v>
      </c>
      <c r="N797">
        <v>0</v>
      </c>
      <c r="O797">
        <v>142</v>
      </c>
      <c r="P797">
        <v>13650</v>
      </c>
      <c r="Q797">
        <v>0</v>
      </c>
      <c r="R797">
        <v>0</v>
      </c>
      <c r="S797">
        <f t="shared" si="12"/>
        <v>13650</v>
      </c>
      <c r="T797">
        <v>0</v>
      </c>
      <c r="U797">
        <v>0</v>
      </c>
      <c r="V797">
        <v>0</v>
      </c>
      <c r="W797">
        <v>44802</v>
      </c>
    </row>
    <row r="798" spans="1:23" ht="12.75">
      <c r="A798" t="s">
        <v>1317</v>
      </c>
      <c r="B798" t="s">
        <v>1318</v>
      </c>
      <c r="C798" t="s">
        <v>3191</v>
      </c>
      <c r="D798" t="s">
        <v>1319</v>
      </c>
      <c r="F798" t="s">
        <v>1592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5500</v>
      </c>
      <c r="N798">
        <v>0</v>
      </c>
      <c r="O798">
        <v>375</v>
      </c>
      <c r="P798">
        <v>13000</v>
      </c>
      <c r="Q798">
        <v>0</v>
      </c>
      <c r="R798">
        <v>0</v>
      </c>
      <c r="S798">
        <f t="shared" si="12"/>
        <v>13000</v>
      </c>
      <c r="T798">
        <v>0</v>
      </c>
      <c r="U798">
        <v>0</v>
      </c>
      <c r="V798">
        <v>0</v>
      </c>
      <c r="W798">
        <v>18875</v>
      </c>
    </row>
    <row r="799" spans="1:23" ht="12.75">
      <c r="A799" t="s">
        <v>1320</v>
      </c>
      <c r="B799" t="s">
        <v>1321</v>
      </c>
      <c r="C799" t="s">
        <v>3191</v>
      </c>
      <c r="D799" t="s">
        <v>1322</v>
      </c>
      <c r="F799" t="s">
        <v>1592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5000</v>
      </c>
      <c r="N799">
        <v>0</v>
      </c>
      <c r="O799">
        <v>0</v>
      </c>
      <c r="P799">
        <v>15000</v>
      </c>
      <c r="Q799">
        <v>0</v>
      </c>
      <c r="R799">
        <v>0</v>
      </c>
      <c r="S799">
        <f t="shared" si="12"/>
        <v>15000</v>
      </c>
      <c r="T799">
        <v>0</v>
      </c>
      <c r="U799">
        <v>0</v>
      </c>
      <c r="V799">
        <v>5000</v>
      </c>
      <c r="W799">
        <v>25000</v>
      </c>
    </row>
    <row r="800" spans="1:23" ht="12.75">
      <c r="A800" t="s">
        <v>1323</v>
      </c>
      <c r="B800" t="s">
        <v>1324</v>
      </c>
      <c r="C800" t="s">
        <v>3191</v>
      </c>
      <c r="D800" t="s">
        <v>1325</v>
      </c>
      <c r="F800" t="s">
        <v>1592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5000</v>
      </c>
      <c r="Q800">
        <v>0</v>
      </c>
      <c r="R800">
        <v>0</v>
      </c>
      <c r="S800">
        <f t="shared" si="12"/>
        <v>5000</v>
      </c>
      <c r="T800">
        <v>0</v>
      </c>
      <c r="U800">
        <v>0</v>
      </c>
      <c r="V800">
        <v>0</v>
      </c>
      <c r="W800">
        <v>5000</v>
      </c>
    </row>
    <row r="801" spans="1:23" ht="12.75">
      <c r="A801" t="s">
        <v>1326</v>
      </c>
      <c r="B801" t="s">
        <v>1327</v>
      </c>
      <c r="C801" t="s">
        <v>3191</v>
      </c>
      <c r="D801" t="s">
        <v>1328</v>
      </c>
      <c r="F801" t="s">
        <v>1592</v>
      </c>
      <c r="G801">
        <v>0</v>
      </c>
      <c r="H801">
        <v>0</v>
      </c>
      <c r="I801">
        <v>1</v>
      </c>
      <c r="J801">
        <v>0</v>
      </c>
      <c r="K801">
        <v>27576</v>
      </c>
      <c r="L801">
        <v>0</v>
      </c>
      <c r="M801">
        <v>23000</v>
      </c>
      <c r="N801">
        <v>0</v>
      </c>
      <c r="O801">
        <v>6679</v>
      </c>
      <c r="P801">
        <v>43000</v>
      </c>
      <c r="Q801">
        <v>5000</v>
      </c>
      <c r="R801">
        <v>38000</v>
      </c>
      <c r="S801">
        <f t="shared" si="12"/>
        <v>86000</v>
      </c>
      <c r="T801">
        <v>0</v>
      </c>
      <c r="U801">
        <v>0</v>
      </c>
      <c r="V801">
        <v>4400</v>
      </c>
      <c r="W801">
        <v>147655</v>
      </c>
    </row>
    <row r="802" spans="1:23" ht="12.75">
      <c r="A802" t="s">
        <v>1329</v>
      </c>
      <c r="B802" t="s">
        <v>1330</v>
      </c>
      <c r="C802" t="s">
        <v>3191</v>
      </c>
      <c r="D802" t="s">
        <v>1331</v>
      </c>
      <c r="F802" t="s">
        <v>1592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3000</v>
      </c>
      <c r="Q802">
        <v>750</v>
      </c>
      <c r="R802">
        <v>0</v>
      </c>
      <c r="S802">
        <f t="shared" si="12"/>
        <v>3750</v>
      </c>
      <c r="T802">
        <v>0</v>
      </c>
      <c r="U802">
        <v>0</v>
      </c>
      <c r="V802">
        <v>200</v>
      </c>
      <c r="W802">
        <v>3950</v>
      </c>
    </row>
    <row r="803" spans="1:23" ht="12.75">
      <c r="A803" t="s">
        <v>1332</v>
      </c>
      <c r="B803" t="s">
        <v>1333</v>
      </c>
      <c r="C803" t="s">
        <v>3191</v>
      </c>
      <c r="D803" t="s">
        <v>1334</v>
      </c>
      <c r="F803" t="s">
        <v>1592</v>
      </c>
      <c r="G803">
        <v>0</v>
      </c>
      <c r="H803">
        <v>0</v>
      </c>
      <c r="I803">
        <v>1.693</v>
      </c>
      <c r="J803">
        <v>1</v>
      </c>
      <c r="K803">
        <v>71588</v>
      </c>
      <c r="L803">
        <v>0</v>
      </c>
      <c r="M803">
        <v>25000</v>
      </c>
      <c r="N803">
        <v>0</v>
      </c>
      <c r="O803">
        <v>4750</v>
      </c>
      <c r="P803">
        <v>80000</v>
      </c>
      <c r="Q803">
        <v>20000</v>
      </c>
      <c r="R803">
        <v>0</v>
      </c>
      <c r="S803">
        <f t="shared" si="12"/>
        <v>100000</v>
      </c>
      <c r="T803">
        <v>0</v>
      </c>
      <c r="U803">
        <v>500</v>
      </c>
      <c r="V803">
        <v>0</v>
      </c>
      <c r="W803">
        <v>201838</v>
      </c>
    </row>
    <row r="804" spans="1:23" ht="12.75">
      <c r="A804" t="s">
        <v>1335</v>
      </c>
      <c r="B804" t="s">
        <v>1336</v>
      </c>
      <c r="C804" t="s">
        <v>3191</v>
      </c>
      <c r="D804" t="s">
        <v>1337</v>
      </c>
      <c r="F804" t="s">
        <v>1592</v>
      </c>
      <c r="G804">
        <v>0</v>
      </c>
      <c r="H804">
        <v>0</v>
      </c>
      <c r="I804">
        <v>0.5720000000000001</v>
      </c>
      <c r="J804">
        <v>0</v>
      </c>
      <c r="K804">
        <v>13796</v>
      </c>
      <c r="L804">
        <v>0</v>
      </c>
      <c r="M804">
        <v>0</v>
      </c>
      <c r="N804">
        <v>0</v>
      </c>
      <c r="O804">
        <v>3192</v>
      </c>
      <c r="P804">
        <v>0</v>
      </c>
      <c r="Q804">
        <v>0</v>
      </c>
      <c r="R804">
        <v>0</v>
      </c>
      <c r="S804">
        <f t="shared" si="12"/>
        <v>0</v>
      </c>
      <c r="T804">
        <v>0</v>
      </c>
      <c r="U804">
        <v>0</v>
      </c>
      <c r="V804">
        <v>0</v>
      </c>
      <c r="W804">
        <v>16988</v>
      </c>
    </row>
    <row r="805" spans="1:23" ht="12.75">
      <c r="A805" t="s">
        <v>1338</v>
      </c>
      <c r="B805" t="s">
        <v>1339</v>
      </c>
      <c r="C805" t="s">
        <v>3191</v>
      </c>
      <c r="D805" t="s">
        <v>1340</v>
      </c>
      <c r="F805" t="s">
        <v>1592</v>
      </c>
      <c r="G805">
        <v>0</v>
      </c>
      <c r="H805">
        <v>0</v>
      </c>
      <c r="I805">
        <v>2</v>
      </c>
      <c r="J805">
        <v>0</v>
      </c>
      <c r="K805">
        <v>43824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f t="shared" si="12"/>
        <v>0</v>
      </c>
      <c r="T805">
        <v>0</v>
      </c>
      <c r="U805">
        <v>0</v>
      </c>
      <c r="V805">
        <v>0</v>
      </c>
      <c r="W805">
        <v>43824</v>
      </c>
    </row>
    <row r="806" spans="1:23" ht="12.75">
      <c r="A806" t="s">
        <v>1341</v>
      </c>
      <c r="B806" t="s">
        <v>1342</v>
      </c>
      <c r="C806" t="s">
        <v>3191</v>
      </c>
      <c r="D806" t="s">
        <v>1343</v>
      </c>
      <c r="F806" t="s">
        <v>1592</v>
      </c>
      <c r="G806">
        <v>0</v>
      </c>
      <c r="H806">
        <v>1</v>
      </c>
      <c r="I806">
        <v>2</v>
      </c>
      <c r="J806">
        <v>0</v>
      </c>
      <c r="K806">
        <v>65916</v>
      </c>
      <c r="L806">
        <v>0</v>
      </c>
      <c r="M806">
        <v>0</v>
      </c>
      <c r="N806">
        <v>0</v>
      </c>
      <c r="O806">
        <v>12408</v>
      </c>
      <c r="P806">
        <v>0</v>
      </c>
      <c r="Q806">
        <v>0</v>
      </c>
      <c r="R806">
        <v>0</v>
      </c>
      <c r="S806">
        <f t="shared" si="12"/>
        <v>0</v>
      </c>
      <c r="T806">
        <v>0</v>
      </c>
      <c r="U806">
        <v>0</v>
      </c>
      <c r="V806">
        <v>0</v>
      </c>
      <c r="W806">
        <v>78324</v>
      </c>
    </row>
    <row r="807" spans="1:23" ht="12.75">
      <c r="A807" t="s">
        <v>1344</v>
      </c>
      <c r="B807" t="s">
        <v>1345</v>
      </c>
      <c r="C807" t="s">
        <v>1116</v>
      </c>
      <c r="D807" t="s">
        <v>1346</v>
      </c>
      <c r="F807" t="s">
        <v>1592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41017</v>
      </c>
      <c r="N807">
        <v>0</v>
      </c>
      <c r="O807">
        <v>3692</v>
      </c>
      <c r="P807">
        <v>4695</v>
      </c>
      <c r="Q807">
        <v>500</v>
      </c>
      <c r="R807">
        <v>0</v>
      </c>
      <c r="S807">
        <f t="shared" si="12"/>
        <v>5195</v>
      </c>
      <c r="T807">
        <v>0</v>
      </c>
      <c r="U807">
        <v>0</v>
      </c>
      <c r="V807">
        <v>0</v>
      </c>
      <c r="W807">
        <v>49904</v>
      </c>
    </row>
    <row r="808" spans="1:23" ht="12.75">
      <c r="A808" t="s">
        <v>1475</v>
      </c>
      <c r="B808" t="s">
        <v>1476</v>
      </c>
      <c r="C808" t="s">
        <v>1356</v>
      </c>
      <c r="D808" t="s">
        <v>1477</v>
      </c>
      <c r="F808" t="s">
        <v>1592</v>
      </c>
      <c r="G808">
        <v>0</v>
      </c>
      <c r="H808">
        <v>0</v>
      </c>
      <c r="I808">
        <v>0.02</v>
      </c>
      <c r="J808">
        <v>0</v>
      </c>
      <c r="K808">
        <v>840</v>
      </c>
      <c r="L808">
        <v>5000</v>
      </c>
      <c r="M808">
        <v>12134</v>
      </c>
      <c r="N808">
        <v>0</v>
      </c>
      <c r="O808">
        <v>5529</v>
      </c>
      <c r="P808">
        <v>60181</v>
      </c>
      <c r="Q808">
        <v>0</v>
      </c>
      <c r="R808">
        <v>0</v>
      </c>
      <c r="S808">
        <f t="shared" si="12"/>
        <v>60181</v>
      </c>
      <c r="T808">
        <v>0</v>
      </c>
      <c r="U808">
        <v>0</v>
      </c>
      <c r="V808">
        <v>10000</v>
      </c>
      <c r="W808">
        <v>93684</v>
      </c>
    </row>
    <row r="809" spans="1:23" ht="12.75">
      <c r="A809" t="s">
        <v>1478</v>
      </c>
      <c r="B809" t="s">
        <v>2703</v>
      </c>
      <c r="C809" t="s">
        <v>1356</v>
      </c>
      <c r="D809" t="s">
        <v>1479</v>
      </c>
      <c r="F809" t="s">
        <v>1592</v>
      </c>
      <c r="G809">
        <v>0</v>
      </c>
      <c r="H809">
        <v>0</v>
      </c>
      <c r="I809">
        <v>0</v>
      </c>
      <c r="J809">
        <v>1</v>
      </c>
      <c r="K809">
        <v>31584</v>
      </c>
      <c r="L809">
        <v>0</v>
      </c>
      <c r="M809">
        <v>117130</v>
      </c>
      <c r="N809">
        <v>0</v>
      </c>
      <c r="O809">
        <v>9297</v>
      </c>
      <c r="P809">
        <v>181000</v>
      </c>
      <c r="Q809">
        <v>0</v>
      </c>
      <c r="R809">
        <v>0</v>
      </c>
      <c r="S809">
        <f t="shared" si="12"/>
        <v>181000</v>
      </c>
      <c r="T809">
        <v>25884</v>
      </c>
      <c r="U809">
        <v>0</v>
      </c>
      <c r="V809">
        <v>8775</v>
      </c>
      <c r="W809">
        <v>373670</v>
      </c>
    </row>
    <row r="810" spans="1:23" ht="12.75">
      <c r="A810" t="s">
        <v>1480</v>
      </c>
      <c r="B810" t="s">
        <v>2736</v>
      </c>
      <c r="C810" t="s">
        <v>1356</v>
      </c>
      <c r="D810" t="s">
        <v>1481</v>
      </c>
      <c r="F810" t="s">
        <v>1592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10000</v>
      </c>
      <c r="N810">
        <v>0</v>
      </c>
      <c r="O810">
        <v>0</v>
      </c>
      <c r="P810">
        <v>173500</v>
      </c>
      <c r="Q810">
        <v>0</v>
      </c>
      <c r="R810">
        <v>0</v>
      </c>
      <c r="S810">
        <f t="shared" si="12"/>
        <v>173500</v>
      </c>
      <c r="T810">
        <v>38094</v>
      </c>
      <c r="U810">
        <v>0</v>
      </c>
      <c r="V810">
        <v>10000</v>
      </c>
      <c r="W810">
        <v>231594</v>
      </c>
    </row>
    <row r="811" spans="1:23" ht="12.75">
      <c r="A811" t="s">
        <v>1482</v>
      </c>
      <c r="B811" t="s">
        <v>2712</v>
      </c>
      <c r="C811" t="s">
        <v>1356</v>
      </c>
      <c r="D811" t="s">
        <v>1483</v>
      </c>
      <c r="F811" t="s">
        <v>1592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f t="shared" si="12"/>
        <v>0</v>
      </c>
      <c r="T811">
        <v>2754</v>
      </c>
      <c r="U811">
        <v>0</v>
      </c>
      <c r="V811">
        <v>0</v>
      </c>
      <c r="W811">
        <v>2754</v>
      </c>
    </row>
    <row r="812" spans="1:23" ht="12.75">
      <c r="A812" t="s">
        <v>1484</v>
      </c>
      <c r="B812" t="s">
        <v>2751</v>
      </c>
      <c r="C812" t="s">
        <v>1356</v>
      </c>
      <c r="D812" t="s">
        <v>1485</v>
      </c>
      <c r="F812" t="s">
        <v>1592</v>
      </c>
      <c r="G812">
        <v>0</v>
      </c>
      <c r="H812">
        <v>0</v>
      </c>
      <c r="I812">
        <v>0</v>
      </c>
      <c r="J812">
        <v>1</v>
      </c>
      <c r="K812">
        <v>27000</v>
      </c>
      <c r="L812">
        <v>0</v>
      </c>
      <c r="M812">
        <v>0</v>
      </c>
      <c r="N812">
        <v>0</v>
      </c>
      <c r="O812">
        <v>7504</v>
      </c>
      <c r="P812">
        <v>29175</v>
      </c>
      <c r="Q812">
        <v>0</v>
      </c>
      <c r="R812">
        <v>0</v>
      </c>
      <c r="S812">
        <f t="shared" si="12"/>
        <v>29175</v>
      </c>
      <c r="T812">
        <v>3408</v>
      </c>
      <c r="U812">
        <v>0</v>
      </c>
      <c r="V812">
        <v>0</v>
      </c>
      <c r="W812">
        <v>67087</v>
      </c>
    </row>
    <row r="813" spans="1:23" ht="12.75">
      <c r="A813" t="s">
        <v>1486</v>
      </c>
      <c r="B813" t="s">
        <v>2709</v>
      </c>
      <c r="C813" t="s">
        <v>1356</v>
      </c>
      <c r="D813" t="s">
        <v>1487</v>
      </c>
      <c r="F813" t="s">
        <v>1592</v>
      </c>
      <c r="G813">
        <v>0</v>
      </c>
      <c r="H813">
        <v>0</v>
      </c>
      <c r="I813">
        <v>1</v>
      </c>
      <c r="J813">
        <v>0.315</v>
      </c>
      <c r="K813">
        <v>38412</v>
      </c>
      <c r="L813">
        <v>5000</v>
      </c>
      <c r="M813">
        <v>114036</v>
      </c>
      <c r="N813">
        <v>0</v>
      </c>
      <c r="O813">
        <v>12313</v>
      </c>
      <c r="P813">
        <v>196500</v>
      </c>
      <c r="Q813">
        <v>0</v>
      </c>
      <c r="R813">
        <v>0</v>
      </c>
      <c r="S813">
        <f t="shared" si="12"/>
        <v>196500</v>
      </c>
      <c r="T813">
        <v>187524</v>
      </c>
      <c r="U813">
        <v>0</v>
      </c>
      <c r="V813">
        <v>0</v>
      </c>
      <c r="W813">
        <v>553785</v>
      </c>
    </row>
    <row r="814" spans="1:23" ht="12.75">
      <c r="A814" t="s">
        <v>1488</v>
      </c>
      <c r="B814" t="s">
        <v>2718</v>
      </c>
      <c r="C814" t="s">
        <v>1356</v>
      </c>
      <c r="D814" t="s">
        <v>1489</v>
      </c>
      <c r="F814" t="s">
        <v>1592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12376</v>
      </c>
      <c r="Q814">
        <v>0</v>
      </c>
      <c r="R814">
        <v>0</v>
      </c>
      <c r="S814">
        <f t="shared" si="12"/>
        <v>12376</v>
      </c>
      <c r="T814">
        <v>3344</v>
      </c>
      <c r="U814">
        <v>0</v>
      </c>
      <c r="V814">
        <v>0</v>
      </c>
      <c r="W814">
        <v>15720</v>
      </c>
    </row>
    <row r="815" spans="1:23" ht="12.75">
      <c r="A815" t="s">
        <v>1490</v>
      </c>
      <c r="B815" t="s">
        <v>2739</v>
      </c>
      <c r="C815" t="s">
        <v>1356</v>
      </c>
      <c r="D815" t="s">
        <v>1491</v>
      </c>
      <c r="F815" t="s">
        <v>1592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25150</v>
      </c>
      <c r="Q815">
        <v>0</v>
      </c>
      <c r="R815">
        <v>0</v>
      </c>
      <c r="S815">
        <f t="shared" si="12"/>
        <v>25150</v>
      </c>
      <c r="T815">
        <v>7952</v>
      </c>
      <c r="U815">
        <v>0</v>
      </c>
      <c r="V815">
        <v>0</v>
      </c>
      <c r="W815">
        <v>33102</v>
      </c>
    </row>
    <row r="816" spans="1:23" ht="12.75">
      <c r="A816" t="s">
        <v>1492</v>
      </c>
      <c r="B816" t="s">
        <v>2745</v>
      </c>
      <c r="C816" t="s">
        <v>1356</v>
      </c>
      <c r="D816" t="s">
        <v>1493</v>
      </c>
      <c r="F816" t="s">
        <v>1592</v>
      </c>
      <c r="G816">
        <v>0</v>
      </c>
      <c r="H816">
        <v>0</v>
      </c>
      <c r="I816">
        <v>0</v>
      </c>
      <c r="J816">
        <v>0.5</v>
      </c>
      <c r="K816">
        <v>15000</v>
      </c>
      <c r="L816">
        <v>0</v>
      </c>
      <c r="M816">
        <v>0</v>
      </c>
      <c r="N816">
        <v>0</v>
      </c>
      <c r="O816">
        <v>0</v>
      </c>
      <c r="P816">
        <v>72650</v>
      </c>
      <c r="Q816">
        <v>0</v>
      </c>
      <c r="R816">
        <v>0</v>
      </c>
      <c r="S816">
        <f t="shared" si="12"/>
        <v>72650</v>
      </c>
      <c r="T816">
        <v>19661</v>
      </c>
      <c r="U816">
        <v>0</v>
      </c>
      <c r="V816">
        <v>0</v>
      </c>
      <c r="W816">
        <v>107311</v>
      </c>
    </row>
    <row r="817" spans="1:23" ht="12.75">
      <c r="A817" t="s">
        <v>1494</v>
      </c>
      <c r="B817" t="s">
        <v>2742</v>
      </c>
      <c r="C817" t="s">
        <v>1356</v>
      </c>
      <c r="D817" t="s">
        <v>1495</v>
      </c>
      <c r="F817" t="s">
        <v>1592</v>
      </c>
      <c r="G817">
        <v>0</v>
      </c>
      <c r="H817">
        <v>0</v>
      </c>
      <c r="I817">
        <v>0</v>
      </c>
      <c r="J817">
        <v>1.5</v>
      </c>
      <c r="K817">
        <v>47892</v>
      </c>
      <c r="L817">
        <v>0</v>
      </c>
      <c r="M817">
        <v>0</v>
      </c>
      <c r="N817">
        <v>0</v>
      </c>
      <c r="O817">
        <v>12652</v>
      </c>
      <c r="P817">
        <v>91650</v>
      </c>
      <c r="Q817">
        <v>0</v>
      </c>
      <c r="R817">
        <v>0</v>
      </c>
      <c r="S817">
        <f t="shared" si="12"/>
        <v>91650</v>
      </c>
      <c r="T817">
        <v>12224</v>
      </c>
      <c r="U817">
        <v>0</v>
      </c>
      <c r="V817">
        <v>4000</v>
      </c>
      <c r="W817">
        <v>168418</v>
      </c>
    </row>
    <row r="818" spans="1:23" ht="12.75">
      <c r="A818" t="s">
        <v>1496</v>
      </c>
      <c r="B818" t="s">
        <v>1497</v>
      </c>
      <c r="C818" t="s">
        <v>1356</v>
      </c>
      <c r="D818" t="s">
        <v>1498</v>
      </c>
      <c r="F818" t="s">
        <v>1592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99100</v>
      </c>
      <c r="Q818">
        <v>0</v>
      </c>
      <c r="R818">
        <v>0</v>
      </c>
      <c r="S818">
        <f t="shared" si="12"/>
        <v>99100</v>
      </c>
      <c r="T818">
        <v>22316</v>
      </c>
      <c r="U818">
        <v>0</v>
      </c>
      <c r="V818">
        <v>6000</v>
      </c>
      <c r="W818">
        <v>127416</v>
      </c>
    </row>
    <row r="819" spans="1:23" ht="12.75">
      <c r="A819" t="s">
        <v>1499</v>
      </c>
      <c r="B819" t="s">
        <v>2724</v>
      </c>
      <c r="C819" t="s">
        <v>1356</v>
      </c>
      <c r="D819" t="s">
        <v>1500</v>
      </c>
      <c r="F819" t="s">
        <v>1592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12000</v>
      </c>
      <c r="N819">
        <v>0</v>
      </c>
      <c r="O819">
        <v>0</v>
      </c>
      <c r="P819">
        <v>51905</v>
      </c>
      <c r="Q819">
        <v>0</v>
      </c>
      <c r="R819">
        <v>0</v>
      </c>
      <c r="S819">
        <f t="shared" si="12"/>
        <v>51905</v>
      </c>
      <c r="T819">
        <v>13828</v>
      </c>
      <c r="U819">
        <v>0</v>
      </c>
      <c r="V819">
        <v>0</v>
      </c>
      <c r="W819">
        <v>77733</v>
      </c>
    </row>
    <row r="820" spans="1:23" ht="12.75">
      <c r="A820" t="s">
        <v>1501</v>
      </c>
      <c r="B820" t="s">
        <v>1502</v>
      </c>
      <c r="C820" t="s">
        <v>1356</v>
      </c>
      <c r="D820" t="s">
        <v>1503</v>
      </c>
      <c r="F820" t="s">
        <v>1592</v>
      </c>
      <c r="G820">
        <v>0</v>
      </c>
      <c r="H820">
        <v>0</v>
      </c>
      <c r="I820">
        <v>0</v>
      </c>
      <c r="J820">
        <v>1</v>
      </c>
      <c r="K820">
        <v>31008</v>
      </c>
      <c r="L820">
        <v>0</v>
      </c>
      <c r="M820">
        <v>24000</v>
      </c>
      <c r="N820">
        <v>0</v>
      </c>
      <c r="O820">
        <v>10096</v>
      </c>
      <c r="P820">
        <v>7500</v>
      </c>
      <c r="Q820">
        <v>0</v>
      </c>
      <c r="R820">
        <v>0</v>
      </c>
      <c r="S820">
        <f t="shared" si="12"/>
        <v>7500</v>
      </c>
      <c r="T820">
        <v>186450</v>
      </c>
      <c r="U820">
        <v>0</v>
      </c>
      <c r="V820">
        <v>1000</v>
      </c>
      <c r="W820">
        <v>260054</v>
      </c>
    </row>
    <row r="821" spans="1:23" ht="12.75">
      <c r="A821" t="s">
        <v>1504</v>
      </c>
      <c r="B821" t="s">
        <v>1505</v>
      </c>
      <c r="C821" t="s">
        <v>1356</v>
      </c>
      <c r="D821" t="s">
        <v>1506</v>
      </c>
      <c r="F821" t="s">
        <v>1592</v>
      </c>
      <c r="G821">
        <v>0</v>
      </c>
      <c r="H821">
        <v>0</v>
      </c>
      <c r="I821">
        <v>0</v>
      </c>
      <c r="J821">
        <v>2</v>
      </c>
      <c r="K821">
        <v>69240</v>
      </c>
      <c r="L821">
        <v>0</v>
      </c>
      <c r="M821">
        <v>30000</v>
      </c>
      <c r="N821">
        <v>0</v>
      </c>
      <c r="O821">
        <v>26750</v>
      </c>
      <c r="P821">
        <v>26450</v>
      </c>
      <c r="Q821">
        <v>0</v>
      </c>
      <c r="R821">
        <v>0</v>
      </c>
      <c r="S821">
        <f t="shared" si="12"/>
        <v>26450</v>
      </c>
      <c r="T821">
        <v>12130</v>
      </c>
      <c r="U821">
        <v>0</v>
      </c>
      <c r="V821">
        <v>0</v>
      </c>
      <c r="W821">
        <v>164570</v>
      </c>
    </row>
    <row r="822" spans="1:23" ht="12.75">
      <c r="A822" t="s">
        <v>1507</v>
      </c>
      <c r="B822" t="s">
        <v>1508</v>
      </c>
      <c r="C822" t="s">
        <v>1356</v>
      </c>
      <c r="D822" t="s">
        <v>1509</v>
      </c>
      <c r="F822" t="s">
        <v>1592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38745</v>
      </c>
      <c r="N822">
        <v>0</v>
      </c>
      <c r="O822">
        <v>9145</v>
      </c>
      <c r="P822">
        <v>23590</v>
      </c>
      <c r="Q822">
        <v>0</v>
      </c>
      <c r="R822">
        <v>0</v>
      </c>
      <c r="S822">
        <f t="shared" si="12"/>
        <v>23590</v>
      </c>
      <c r="T822">
        <v>0</v>
      </c>
      <c r="U822">
        <v>0</v>
      </c>
      <c r="V822">
        <v>1000</v>
      </c>
      <c r="W822">
        <v>72480</v>
      </c>
    </row>
    <row r="823" spans="1:23" ht="12.75">
      <c r="A823" t="s">
        <v>1510</v>
      </c>
      <c r="B823" t="s">
        <v>1511</v>
      </c>
      <c r="C823" t="s">
        <v>1356</v>
      </c>
      <c r="D823" t="s">
        <v>1512</v>
      </c>
      <c r="F823" t="s">
        <v>1592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5000</v>
      </c>
      <c r="M823">
        <v>2750</v>
      </c>
      <c r="N823">
        <v>0</v>
      </c>
      <c r="O823">
        <v>1155</v>
      </c>
      <c r="P823">
        <v>26950</v>
      </c>
      <c r="Q823">
        <v>0</v>
      </c>
      <c r="R823">
        <v>0</v>
      </c>
      <c r="S823">
        <f t="shared" si="12"/>
        <v>26950</v>
      </c>
      <c r="T823">
        <v>24260</v>
      </c>
      <c r="U823">
        <v>0</v>
      </c>
      <c r="V823">
        <v>0</v>
      </c>
      <c r="W823">
        <v>60115</v>
      </c>
    </row>
    <row r="824" spans="1:23" ht="12.75">
      <c r="A824" t="s">
        <v>1513</v>
      </c>
      <c r="B824" t="s">
        <v>2721</v>
      </c>
      <c r="C824" t="s">
        <v>1356</v>
      </c>
      <c r="D824" t="s">
        <v>1514</v>
      </c>
      <c r="F824" t="s">
        <v>1592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6500</v>
      </c>
      <c r="Q824">
        <v>0</v>
      </c>
      <c r="R824">
        <v>0</v>
      </c>
      <c r="S824">
        <f t="shared" si="12"/>
        <v>6500</v>
      </c>
      <c r="T824">
        <v>0</v>
      </c>
      <c r="U824">
        <v>0</v>
      </c>
      <c r="V824">
        <v>179600</v>
      </c>
      <c r="W824">
        <v>186100</v>
      </c>
    </row>
    <row r="825" spans="1:23" ht="12.75">
      <c r="A825" t="s">
        <v>1515</v>
      </c>
      <c r="B825" t="s">
        <v>1516</v>
      </c>
      <c r="C825" t="s">
        <v>1356</v>
      </c>
      <c r="D825" t="s">
        <v>1517</v>
      </c>
      <c r="F825" t="s">
        <v>1592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72610</v>
      </c>
      <c r="Q825">
        <v>0</v>
      </c>
      <c r="R825">
        <v>0</v>
      </c>
      <c r="S825">
        <f t="shared" si="12"/>
        <v>72610</v>
      </c>
      <c r="T825">
        <v>42380</v>
      </c>
      <c r="U825">
        <v>0</v>
      </c>
      <c r="V825">
        <v>0</v>
      </c>
      <c r="W825">
        <v>114990</v>
      </c>
    </row>
    <row r="826" spans="1:23" ht="12.75">
      <c r="A826" t="s">
        <v>1518</v>
      </c>
      <c r="B826" t="s">
        <v>1519</v>
      </c>
      <c r="C826" t="s">
        <v>1356</v>
      </c>
      <c r="D826" t="s">
        <v>1520</v>
      </c>
      <c r="F826" t="s">
        <v>1592</v>
      </c>
      <c r="G826">
        <v>0</v>
      </c>
      <c r="H826">
        <v>0</v>
      </c>
      <c r="I826">
        <v>1</v>
      </c>
      <c r="J826">
        <v>0</v>
      </c>
      <c r="K826">
        <v>20004</v>
      </c>
      <c r="L826">
        <v>0</v>
      </c>
      <c r="M826">
        <v>59000</v>
      </c>
      <c r="N826">
        <v>0</v>
      </c>
      <c r="O826">
        <v>10694</v>
      </c>
      <c r="P826">
        <v>138725</v>
      </c>
      <c r="Q826">
        <v>0</v>
      </c>
      <c r="R826">
        <v>0</v>
      </c>
      <c r="S826">
        <f t="shared" si="12"/>
        <v>138725</v>
      </c>
      <c r="T826">
        <v>0</v>
      </c>
      <c r="U826">
        <v>379900</v>
      </c>
      <c r="V826">
        <v>24000</v>
      </c>
      <c r="W826">
        <v>632323</v>
      </c>
    </row>
    <row r="827" spans="1:23" ht="12.75">
      <c r="A827" t="s">
        <v>1521</v>
      </c>
      <c r="B827" t="s">
        <v>3110</v>
      </c>
      <c r="C827" t="s">
        <v>1356</v>
      </c>
      <c r="D827" t="s">
        <v>1522</v>
      </c>
      <c r="F827" t="s">
        <v>1592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5000</v>
      </c>
      <c r="N827">
        <v>0</v>
      </c>
      <c r="O827">
        <v>383</v>
      </c>
      <c r="P827">
        <v>14484</v>
      </c>
      <c r="Q827">
        <v>0</v>
      </c>
      <c r="R827">
        <v>0</v>
      </c>
      <c r="S827">
        <f t="shared" si="12"/>
        <v>14484</v>
      </c>
      <c r="T827">
        <v>0</v>
      </c>
      <c r="U827">
        <v>0</v>
      </c>
      <c r="V827">
        <v>0</v>
      </c>
      <c r="W827">
        <v>19867</v>
      </c>
    </row>
    <row r="828" spans="1:23" ht="12.75">
      <c r="A828" t="s">
        <v>1347</v>
      </c>
      <c r="B828" t="s">
        <v>1348</v>
      </c>
      <c r="C828" t="s">
        <v>1349</v>
      </c>
      <c r="D828" t="s">
        <v>1350</v>
      </c>
      <c r="F828" t="s">
        <v>1592</v>
      </c>
      <c r="G828">
        <v>0</v>
      </c>
      <c r="H828">
        <v>0</v>
      </c>
      <c r="I828">
        <v>1</v>
      </c>
      <c r="J828">
        <v>0</v>
      </c>
      <c r="K828">
        <v>29160</v>
      </c>
      <c r="L828">
        <v>0</v>
      </c>
      <c r="M828">
        <v>500</v>
      </c>
      <c r="N828">
        <v>0</v>
      </c>
      <c r="O828">
        <v>6980</v>
      </c>
      <c r="P828">
        <v>6875</v>
      </c>
      <c r="Q828">
        <v>3200</v>
      </c>
      <c r="R828">
        <v>0</v>
      </c>
      <c r="S828">
        <f t="shared" si="12"/>
        <v>10075</v>
      </c>
      <c r="T828">
        <v>0</v>
      </c>
      <c r="U828">
        <v>0</v>
      </c>
      <c r="V828">
        <v>0</v>
      </c>
      <c r="W828">
        <v>46715</v>
      </c>
    </row>
    <row r="829" spans="1:23" ht="12.75">
      <c r="A829" t="s">
        <v>1523</v>
      </c>
      <c r="B829" t="s">
        <v>2817</v>
      </c>
      <c r="C829" t="s">
        <v>1356</v>
      </c>
      <c r="D829" t="s">
        <v>1524</v>
      </c>
      <c r="F829" t="s">
        <v>1592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145494</v>
      </c>
      <c r="N829">
        <v>0</v>
      </c>
      <c r="O829">
        <v>16908</v>
      </c>
      <c r="P829">
        <v>62332</v>
      </c>
      <c r="Q829">
        <v>600</v>
      </c>
      <c r="R829">
        <v>0</v>
      </c>
      <c r="S829">
        <f t="shared" si="12"/>
        <v>62932</v>
      </c>
      <c r="T829">
        <v>0</v>
      </c>
      <c r="U829">
        <v>0</v>
      </c>
      <c r="V829">
        <v>3000</v>
      </c>
      <c r="W829">
        <v>228334</v>
      </c>
    </row>
    <row r="830" spans="1:23" ht="12.75">
      <c r="A830" t="s">
        <v>1525</v>
      </c>
      <c r="B830" t="s">
        <v>1526</v>
      </c>
      <c r="C830" t="s">
        <v>1356</v>
      </c>
      <c r="D830" t="s">
        <v>1527</v>
      </c>
      <c r="F830" t="s">
        <v>1592</v>
      </c>
      <c r="G830">
        <v>0</v>
      </c>
      <c r="H830">
        <v>0</v>
      </c>
      <c r="I830">
        <v>1</v>
      </c>
      <c r="J830">
        <v>0</v>
      </c>
      <c r="K830">
        <v>29016</v>
      </c>
      <c r="L830">
        <v>0</v>
      </c>
      <c r="M830">
        <v>0</v>
      </c>
      <c r="N830">
        <v>0</v>
      </c>
      <c r="O830">
        <v>7884</v>
      </c>
      <c r="P830">
        <v>137500</v>
      </c>
      <c r="Q830">
        <v>0</v>
      </c>
      <c r="R830">
        <v>0</v>
      </c>
      <c r="S830">
        <f t="shared" si="12"/>
        <v>137500</v>
      </c>
      <c r="T830">
        <v>12530</v>
      </c>
      <c r="U830">
        <v>257000</v>
      </c>
      <c r="V830">
        <v>61500</v>
      </c>
      <c r="W830">
        <v>505430</v>
      </c>
    </row>
    <row r="831" spans="1:23" ht="12.75">
      <c r="A831" t="s">
        <v>1528</v>
      </c>
      <c r="B831" t="s">
        <v>1529</v>
      </c>
      <c r="C831" t="s">
        <v>1356</v>
      </c>
      <c r="D831" t="s">
        <v>1530</v>
      </c>
      <c r="F831" t="s">
        <v>1592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9325</v>
      </c>
      <c r="N831">
        <v>0</v>
      </c>
      <c r="O831">
        <v>713</v>
      </c>
      <c r="P831">
        <v>2835</v>
      </c>
      <c r="Q831">
        <v>0</v>
      </c>
      <c r="R831">
        <v>0</v>
      </c>
      <c r="S831">
        <f t="shared" si="12"/>
        <v>2835</v>
      </c>
      <c r="T831">
        <v>0</v>
      </c>
      <c r="U831">
        <v>42000</v>
      </c>
      <c r="V831">
        <v>4000</v>
      </c>
      <c r="W831">
        <v>58873</v>
      </c>
    </row>
    <row r="832" spans="1:23" ht="12.75">
      <c r="A832" t="s">
        <v>1351</v>
      </c>
      <c r="B832" t="s">
        <v>1352</v>
      </c>
      <c r="C832" t="s">
        <v>3191</v>
      </c>
      <c r="D832" t="s">
        <v>1353</v>
      </c>
      <c r="F832" t="s">
        <v>1592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8000</v>
      </c>
      <c r="N832">
        <v>0</v>
      </c>
      <c r="O832">
        <v>0</v>
      </c>
      <c r="P832">
        <v>13500</v>
      </c>
      <c r="Q832">
        <v>0</v>
      </c>
      <c r="R832">
        <v>0</v>
      </c>
      <c r="S832">
        <f t="shared" si="12"/>
        <v>13500</v>
      </c>
      <c r="T832">
        <v>0</v>
      </c>
      <c r="U832">
        <v>0</v>
      </c>
      <c r="V832">
        <v>0</v>
      </c>
      <c r="W832">
        <v>21500</v>
      </c>
    </row>
    <row r="833" spans="1:23" ht="12.75">
      <c r="A833" t="s">
        <v>1354</v>
      </c>
      <c r="B833" t="s">
        <v>1355</v>
      </c>
      <c r="C833" t="s">
        <v>1356</v>
      </c>
      <c r="D833" t="s">
        <v>1357</v>
      </c>
      <c r="F833" t="s">
        <v>1592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51300</v>
      </c>
      <c r="Q833">
        <v>0</v>
      </c>
      <c r="R833">
        <v>0</v>
      </c>
      <c r="S833">
        <f t="shared" si="12"/>
        <v>51300</v>
      </c>
      <c r="T833">
        <v>29606</v>
      </c>
      <c r="U833">
        <v>0</v>
      </c>
      <c r="V833">
        <v>700</v>
      </c>
      <c r="W833">
        <v>81606</v>
      </c>
    </row>
    <row r="834" spans="1:23" ht="12.75">
      <c r="A834" t="s">
        <v>1358</v>
      </c>
      <c r="B834" t="s">
        <v>1359</v>
      </c>
      <c r="C834" t="s">
        <v>3191</v>
      </c>
      <c r="D834" t="s">
        <v>1360</v>
      </c>
      <c r="F834" t="s">
        <v>1592</v>
      </c>
      <c r="G834">
        <v>0</v>
      </c>
      <c r="H834">
        <v>0</v>
      </c>
      <c r="I834">
        <v>1</v>
      </c>
      <c r="J834">
        <v>0</v>
      </c>
      <c r="K834">
        <v>28788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f t="shared" si="12"/>
        <v>0</v>
      </c>
      <c r="T834">
        <v>0</v>
      </c>
      <c r="U834">
        <v>0</v>
      </c>
      <c r="V834">
        <v>0</v>
      </c>
      <c r="W834">
        <v>28788</v>
      </c>
    </row>
    <row r="835" spans="1:23" ht="12.75">
      <c r="A835" t="s">
        <v>1361</v>
      </c>
      <c r="B835" t="s">
        <v>1362</v>
      </c>
      <c r="C835" t="s">
        <v>1363</v>
      </c>
      <c r="D835" t="s">
        <v>1364</v>
      </c>
      <c r="F835" t="s">
        <v>1592</v>
      </c>
      <c r="G835">
        <v>0.5</v>
      </c>
      <c r="H835">
        <v>0</v>
      </c>
      <c r="I835">
        <v>15</v>
      </c>
      <c r="J835">
        <v>0</v>
      </c>
      <c r="K835">
        <v>488178</v>
      </c>
      <c r="L835">
        <v>21000</v>
      </c>
      <c r="M835">
        <v>70500</v>
      </c>
      <c r="N835">
        <v>0</v>
      </c>
      <c r="O835">
        <v>126926</v>
      </c>
      <c r="P835">
        <v>800000</v>
      </c>
      <c r="Q835">
        <v>18000</v>
      </c>
      <c r="R835">
        <v>12000</v>
      </c>
      <c r="S835">
        <f t="shared" si="12"/>
        <v>830000</v>
      </c>
      <c r="T835">
        <v>0</v>
      </c>
      <c r="U835">
        <v>0</v>
      </c>
      <c r="V835">
        <v>54000</v>
      </c>
      <c r="W835">
        <v>1590604</v>
      </c>
    </row>
    <row r="836" spans="1:23" ht="12.75">
      <c r="A836" t="s">
        <v>1531</v>
      </c>
      <c r="B836" t="s">
        <v>2715</v>
      </c>
      <c r="C836" t="s">
        <v>1356</v>
      </c>
      <c r="D836" t="s">
        <v>1532</v>
      </c>
      <c r="F836" t="s">
        <v>1592</v>
      </c>
      <c r="G836">
        <v>0</v>
      </c>
      <c r="H836">
        <v>0</v>
      </c>
      <c r="I836">
        <v>1</v>
      </c>
      <c r="J836">
        <v>0</v>
      </c>
      <c r="K836">
        <v>24000</v>
      </c>
      <c r="L836">
        <v>0</v>
      </c>
      <c r="M836">
        <v>24012</v>
      </c>
      <c r="N836">
        <v>0</v>
      </c>
      <c r="O836">
        <v>8199</v>
      </c>
      <c r="P836">
        <v>53750</v>
      </c>
      <c r="Q836">
        <v>0</v>
      </c>
      <c r="R836">
        <v>0</v>
      </c>
      <c r="S836">
        <f t="shared" si="12"/>
        <v>53750</v>
      </c>
      <c r="T836">
        <v>12130</v>
      </c>
      <c r="U836">
        <v>0</v>
      </c>
      <c r="V836">
        <v>8400</v>
      </c>
      <c r="W836">
        <v>130491</v>
      </c>
    </row>
    <row r="837" spans="1:23" ht="12.75">
      <c r="A837" t="s">
        <v>1365</v>
      </c>
      <c r="B837" t="s">
        <v>1366</v>
      </c>
      <c r="C837" t="s">
        <v>1123</v>
      </c>
      <c r="D837" t="s">
        <v>1367</v>
      </c>
      <c r="F837" t="s">
        <v>1592</v>
      </c>
      <c r="G837">
        <v>0</v>
      </c>
      <c r="H837">
        <v>0</v>
      </c>
      <c r="I837">
        <v>1.65</v>
      </c>
      <c r="J837">
        <v>0</v>
      </c>
      <c r="K837">
        <v>40276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f t="shared" si="12"/>
        <v>0</v>
      </c>
      <c r="T837">
        <v>0</v>
      </c>
      <c r="U837">
        <v>0</v>
      </c>
      <c r="V837">
        <v>0</v>
      </c>
      <c r="W837">
        <v>40276</v>
      </c>
    </row>
    <row r="838" spans="1:23" ht="12.75">
      <c r="A838" t="s">
        <v>1533</v>
      </c>
      <c r="B838" t="s">
        <v>1534</v>
      </c>
      <c r="C838" t="s">
        <v>1356</v>
      </c>
      <c r="D838" t="s">
        <v>1535</v>
      </c>
      <c r="F838" t="s">
        <v>1592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49788</v>
      </c>
      <c r="N838">
        <v>0</v>
      </c>
      <c r="O838">
        <v>3809</v>
      </c>
      <c r="P838">
        <v>5025</v>
      </c>
      <c r="Q838">
        <v>0</v>
      </c>
      <c r="R838">
        <v>0</v>
      </c>
      <c r="S838">
        <f t="shared" si="12"/>
        <v>5025</v>
      </c>
      <c r="T838">
        <v>0</v>
      </c>
      <c r="U838">
        <v>0</v>
      </c>
      <c r="V838">
        <v>25500</v>
      </c>
      <c r="W838">
        <v>84122</v>
      </c>
    </row>
    <row r="839" spans="1:23" ht="12.75">
      <c r="A839" t="s">
        <v>1368</v>
      </c>
      <c r="B839" t="s">
        <v>1369</v>
      </c>
      <c r="C839" t="s">
        <v>3191</v>
      </c>
      <c r="D839" t="s">
        <v>1370</v>
      </c>
      <c r="F839" t="s">
        <v>1592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5500</v>
      </c>
      <c r="Q839">
        <v>0</v>
      </c>
      <c r="R839">
        <v>0</v>
      </c>
      <c r="S839">
        <f t="shared" si="12"/>
        <v>5500</v>
      </c>
      <c r="T839">
        <v>0</v>
      </c>
      <c r="U839">
        <v>0</v>
      </c>
      <c r="V839">
        <v>0</v>
      </c>
      <c r="W839">
        <v>5500</v>
      </c>
    </row>
    <row r="840" spans="1:23" ht="12.75">
      <c r="A840" t="s">
        <v>1536</v>
      </c>
      <c r="B840" t="s">
        <v>1537</v>
      </c>
      <c r="C840" t="s">
        <v>1356</v>
      </c>
      <c r="D840" t="s">
        <v>1538</v>
      </c>
      <c r="F840" t="s">
        <v>1592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23000</v>
      </c>
      <c r="R840">
        <v>0</v>
      </c>
      <c r="S840">
        <f t="shared" si="12"/>
        <v>23000</v>
      </c>
      <c r="T840">
        <v>0</v>
      </c>
      <c r="U840">
        <v>84920</v>
      </c>
      <c r="V840">
        <v>0</v>
      </c>
      <c r="W840">
        <v>107920</v>
      </c>
    </row>
    <row r="841" spans="1:23" ht="12.75">
      <c r="A841" t="s">
        <v>1539</v>
      </c>
      <c r="B841" t="s">
        <v>1540</v>
      </c>
      <c r="C841" t="s">
        <v>1356</v>
      </c>
      <c r="D841" t="s">
        <v>1541</v>
      </c>
      <c r="F841" t="s">
        <v>1592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142850</v>
      </c>
      <c r="Q841">
        <v>0</v>
      </c>
      <c r="R841">
        <v>0</v>
      </c>
      <c r="S841">
        <f t="shared" si="12"/>
        <v>142850</v>
      </c>
      <c r="T841">
        <v>0</v>
      </c>
      <c r="U841">
        <v>0</v>
      </c>
      <c r="V841">
        <v>0</v>
      </c>
      <c r="W841">
        <v>142850</v>
      </c>
    </row>
    <row r="842" spans="1:23" ht="12.75">
      <c r="A842" t="s">
        <v>1542</v>
      </c>
      <c r="B842" t="s">
        <v>1543</v>
      </c>
      <c r="C842" t="s">
        <v>1356</v>
      </c>
      <c r="D842" t="s">
        <v>1544</v>
      </c>
      <c r="F842" t="s">
        <v>1592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15000</v>
      </c>
      <c r="N842">
        <v>0</v>
      </c>
      <c r="O842">
        <v>0</v>
      </c>
      <c r="P842">
        <v>125000</v>
      </c>
      <c r="Q842">
        <v>0</v>
      </c>
      <c r="R842">
        <v>0</v>
      </c>
      <c r="S842">
        <f t="shared" si="12"/>
        <v>125000</v>
      </c>
      <c r="T842">
        <v>0</v>
      </c>
      <c r="U842">
        <v>305000</v>
      </c>
      <c r="V842">
        <v>140000</v>
      </c>
      <c r="W842">
        <v>585000</v>
      </c>
    </row>
    <row r="843" spans="1:23" ht="12.75">
      <c r="A843" t="s">
        <v>1371</v>
      </c>
      <c r="B843" t="s">
        <v>1372</v>
      </c>
      <c r="C843" t="s">
        <v>3191</v>
      </c>
      <c r="D843" t="s">
        <v>1373</v>
      </c>
      <c r="F843" t="s">
        <v>1592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100000</v>
      </c>
      <c r="N843">
        <v>0</v>
      </c>
      <c r="O843">
        <v>9000</v>
      </c>
      <c r="P843">
        <v>80000</v>
      </c>
      <c r="Q843">
        <v>0</v>
      </c>
      <c r="R843">
        <v>0</v>
      </c>
      <c r="S843">
        <f aca="true" t="shared" si="13" ref="S843:S906">SUM(P843:R843)</f>
        <v>80000</v>
      </c>
      <c r="T843">
        <v>0</v>
      </c>
      <c r="U843">
        <v>0</v>
      </c>
      <c r="V843">
        <v>0</v>
      </c>
      <c r="W843">
        <v>189000</v>
      </c>
    </row>
    <row r="844" spans="1:23" ht="12.75">
      <c r="A844" t="s">
        <v>1374</v>
      </c>
      <c r="B844" t="s">
        <v>1375</v>
      </c>
      <c r="C844" t="s">
        <v>1356</v>
      </c>
      <c r="D844" t="s">
        <v>1376</v>
      </c>
      <c r="F844" t="s">
        <v>1592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f t="shared" si="13"/>
        <v>0</v>
      </c>
      <c r="T844">
        <v>0</v>
      </c>
      <c r="U844">
        <v>2823000</v>
      </c>
      <c r="V844">
        <v>0</v>
      </c>
      <c r="W844">
        <v>2823000</v>
      </c>
    </row>
    <row r="845" spans="1:23" ht="12.75">
      <c r="A845" t="s">
        <v>1377</v>
      </c>
      <c r="B845" t="s">
        <v>1378</v>
      </c>
      <c r="C845" t="s">
        <v>1356</v>
      </c>
      <c r="D845" t="s">
        <v>1379</v>
      </c>
      <c r="F845" t="s">
        <v>1592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f t="shared" si="13"/>
        <v>0</v>
      </c>
      <c r="T845">
        <v>0</v>
      </c>
      <c r="U845">
        <v>816000</v>
      </c>
      <c r="V845">
        <v>0</v>
      </c>
      <c r="W845">
        <v>816000</v>
      </c>
    </row>
    <row r="846" spans="1:23" ht="12.75">
      <c r="A846" t="s">
        <v>1380</v>
      </c>
      <c r="B846" t="s">
        <v>1381</v>
      </c>
      <c r="C846" t="s">
        <v>1356</v>
      </c>
      <c r="D846" t="s">
        <v>1382</v>
      </c>
      <c r="F846" t="s">
        <v>1592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f t="shared" si="13"/>
        <v>0</v>
      </c>
      <c r="T846">
        <v>0</v>
      </c>
      <c r="U846">
        <v>17000</v>
      </c>
      <c r="V846">
        <v>0</v>
      </c>
      <c r="W846">
        <v>17000</v>
      </c>
    </row>
    <row r="847" spans="1:23" ht="12.75">
      <c r="A847" t="s">
        <v>1383</v>
      </c>
      <c r="B847" t="s">
        <v>1384</v>
      </c>
      <c r="C847" t="s">
        <v>1356</v>
      </c>
      <c r="D847" t="s">
        <v>1385</v>
      </c>
      <c r="F847" t="s">
        <v>1592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10000</v>
      </c>
      <c r="N847">
        <v>0</v>
      </c>
      <c r="O847">
        <v>0</v>
      </c>
      <c r="P847">
        <v>0</v>
      </c>
      <c r="Q847">
        <v>40000</v>
      </c>
      <c r="R847">
        <v>0</v>
      </c>
      <c r="S847">
        <f t="shared" si="13"/>
        <v>40000</v>
      </c>
      <c r="T847">
        <v>0</v>
      </c>
      <c r="U847">
        <v>623000</v>
      </c>
      <c r="V847">
        <v>25000</v>
      </c>
      <c r="W847">
        <v>698000</v>
      </c>
    </row>
    <row r="848" spans="1:23" ht="12.75">
      <c r="A848" t="s">
        <v>1386</v>
      </c>
      <c r="B848" t="s">
        <v>1387</v>
      </c>
      <c r="C848" t="s">
        <v>3191</v>
      </c>
      <c r="D848" t="s">
        <v>1388</v>
      </c>
      <c r="F848" t="s">
        <v>1592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1300</v>
      </c>
      <c r="N848">
        <v>0</v>
      </c>
      <c r="O848">
        <v>0</v>
      </c>
      <c r="P848">
        <v>2250</v>
      </c>
      <c r="Q848">
        <v>0</v>
      </c>
      <c r="R848">
        <v>150</v>
      </c>
      <c r="S848">
        <f t="shared" si="13"/>
        <v>2400</v>
      </c>
      <c r="T848">
        <v>0</v>
      </c>
      <c r="U848">
        <v>0</v>
      </c>
      <c r="V848">
        <v>1100</v>
      </c>
      <c r="W848">
        <v>4800</v>
      </c>
    </row>
    <row r="849" spans="1:23" ht="12.75">
      <c r="A849" t="s">
        <v>1389</v>
      </c>
      <c r="B849" t="s">
        <v>1390</v>
      </c>
      <c r="C849" t="s">
        <v>3191</v>
      </c>
      <c r="D849" t="s">
        <v>1391</v>
      </c>
      <c r="F849" t="s">
        <v>1592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350</v>
      </c>
      <c r="Q849">
        <v>0</v>
      </c>
      <c r="R849">
        <v>400</v>
      </c>
      <c r="S849">
        <f t="shared" si="13"/>
        <v>750</v>
      </c>
      <c r="T849">
        <v>0</v>
      </c>
      <c r="U849">
        <v>0</v>
      </c>
      <c r="V849">
        <v>0</v>
      </c>
      <c r="W849">
        <v>750</v>
      </c>
    </row>
    <row r="850" spans="1:23" ht="12.75">
      <c r="A850" t="s">
        <v>1392</v>
      </c>
      <c r="B850" t="s">
        <v>1393</v>
      </c>
      <c r="C850" t="s">
        <v>3191</v>
      </c>
      <c r="D850" t="s">
        <v>1394</v>
      </c>
      <c r="F850" t="s">
        <v>1592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f t="shared" si="13"/>
        <v>0</v>
      </c>
      <c r="T850">
        <v>0</v>
      </c>
      <c r="U850">
        <v>0</v>
      </c>
      <c r="V850">
        <v>25000</v>
      </c>
      <c r="W850">
        <v>25000</v>
      </c>
    </row>
    <row r="851" spans="1:23" ht="12.75">
      <c r="A851" t="s">
        <v>1395</v>
      </c>
      <c r="B851" t="s">
        <v>1396</v>
      </c>
      <c r="C851" t="s">
        <v>3191</v>
      </c>
      <c r="D851" t="s">
        <v>1397</v>
      </c>
      <c r="F851" t="s">
        <v>1592</v>
      </c>
      <c r="G851">
        <v>0</v>
      </c>
      <c r="H851">
        <v>0</v>
      </c>
      <c r="I851">
        <v>0.75</v>
      </c>
      <c r="J851">
        <v>0</v>
      </c>
      <c r="K851">
        <v>22158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f t="shared" si="13"/>
        <v>0</v>
      </c>
      <c r="T851">
        <v>0</v>
      </c>
      <c r="U851">
        <v>0</v>
      </c>
      <c r="V851">
        <v>0</v>
      </c>
      <c r="W851">
        <v>22158</v>
      </c>
    </row>
    <row r="852" spans="1:23" ht="12.75">
      <c r="A852" t="s">
        <v>1398</v>
      </c>
      <c r="B852" t="s">
        <v>1399</v>
      </c>
      <c r="C852" t="s">
        <v>3191</v>
      </c>
      <c r="D852" t="s">
        <v>1400</v>
      </c>
      <c r="F852" t="s">
        <v>1592</v>
      </c>
      <c r="G852">
        <v>0</v>
      </c>
      <c r="H852">
        <v>0</v>
      </c>
      <c r="I852">
        <v>5</v>
      </c>
      <c r="J852">
        <v>0</v>
      </c>
      <c r="K852">
        <v>109836</v>
      </c>
      <c r="L852">
        <v>0</v>
      </c>
      <c r="M852">
        <v>0</v>
      </c>
      <c r="N852">
        <v>0</v>
      </c>
      <c r="O852">
        <v>15909</v>
      </c>
      <c r="P852">
        <v>0</v>
      </c>
      <c r="Q852">
        <v>0</v>
      </c>
      <c r="R852">
        <v>0</v>
      </c>
      <c r="S852">
        <f t="shared" si="13"/>
        <v>0</v>
      </c>
      <c r="T852">
        <v>0</v>
      </c>
      <c r="U852">
        <v>0</v>
      </c>
      <c r="V852">
        <v>0</v>
      </c>
      <c r="W852">
        <v>125745</v>
      </c>
    </row>
    <row r="853" spans="1:23" ht="12.75">
      <c r="A853" t="s">
        <v>1401</v>
      </c>
      <c r="B853" t="s">
        <v>1402</v>
      </c>
      <c r="C853" t="s">
        <v>3191</v>
      </c>
      <c r="D853" t="s">
        <v>1403</v>
      </c>
      <c r="F853" t="s">
        <v>1592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500</v>
      </c>
      <c r="N853">
        <v>0</v>
      </c>
      <c r="O853">
        <v>0</v>
      </c>
      <c r="P853">
        <v>30000</v>
      </c>
      <c r="Q853">
        <v>50</v>
      </c>
      <c r="R853">
        <v>7000</v>
      </c>
      <c r="S853">
        <f t="shared" si="13"/>
        <v>37050</v>
      </c>
      <c r="T853">
        <v>0</v>
      </c>
      <c r="U853">
        <v>0</v>
      </c>
      <c r="V853">
        <v>1800</v>
      </c>
      <c r="W853">
        <v>39350</v>
      </c>
    </row>
    <row r="854" spans="1:23" ht="12.75">
      <c r="A854" t="s">
        <v>1404</v>
      </c>
      <c r="B854" t="s">
        <v>1405</v>
      </c>
      <c r="C854" t="s">
        <v>1406</v>
      </c>
      <c r="D854" t="s">
        <v>1407</v>
      </c>
      <c r="F854" t="s">
        <v>1592</v>
      </c>
      <c r="G854">
        <v>0</v>
      </c>
      <c r="H854">
        <v>0</v>
      </c>
      <c r="I854">
        <v>1</v>
      </c>
      <c r="J854">
        <v>0</v>
      </c>
      <c r="K854">
        <v>27360</v>
      </c>
      <c r="L854">
        <v>0</v>
      </c>
      <c r="M854">
        <v>2500</v>
      </c>
      <c r="N854">
        <v>0</v>
      </c>
      <c r="O854">
        <v>0</v>
      </c>
      <c r="P854">
        <v>3000</v>
      </c>
      <c r="Q854">
        <v>0</v>
      </c>
      <c r="R854">
        <v>0</v>
      </c>
      <c r="S854">
        <f t="shared" si="13"/>
        <v>3000</v>
      </c>
      <c r="T854">
        <v>0</v>
      </c>
      <c r="U854">
        <v>0</v>
      </c>
      <c r="V854">
        <v>0</v>
      </c>
      <c r="W854">
        <v>32860</v>
      </c>
    </row>
    <row r="855" spans="1:23" ht="12.75">
      <c r="A855" t="s">
        <v>1408</v>
      </c>
      <c r="B855" t="s">
        <v>1409</v>
      </c>
      <c r="C855" t="s">
        <v>1123</v>
      </c>
      <c r="D855" t="s">
        <v>1410</v>
      </c>
      <c r="F855" t="s">
        <v>1592</v>
      </c>
      <c r="G855">
        <v>0</v>
      </c>
      <c r="H855">
        <v>0</v>
      </c>
      <c r="I855">
        <v>0.1</v>
      </c>
      <c r="J855">
        <v>0</v>
      </c>
      <c r="K855">
        <v>2975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f t="shared" si="13"/>
        <v>0</v>
      </c>
      <c r="T855">
        <v>0</v>
      </c>
      <c r="U855">
        <v>0</v>
      </c>
      <c r="V855">
        <v>0</v>
      </c>
      <c r="W855">
        <v>2975</v>
      </c>
    </row>
    <row r="856" spans="1:23" ht="12.75">
      <c r="A856" t="s">
        <v>392</v>
      </c>
      <c r="B856" t="s">
        <v>393</v>
      </c>
      <c r="C856" t="s">
        <v>394</v>
      </c>
      <c r="D856" t="s">
        <v>395</v>
      </c>
      <c r="E856" t="s">
        <v>396</v>
      </c>
      <c r="F856" t="s">
        <v>1592</v>
      </c>
      <c r="G856">
        <v>0</v>
      </c>
      <c r="H856">
        <v>0</v>
      </c>
      <c r="I856">
        <v>0.124</v>
      </c>
      <c r="J856">
        <v>0</v>
      </c>
      <c r="K856">
        <v>3195</v>
      </c>
      <c r="L856">
        <v>0</v>
      </c>
      <c r="M856">
        <v>0</v>
      </c>
      <c r="N856">
        <v>0</v>
      </c>
      <c r="O856">
        <v>0</v>
      </c>
      <c r="P856">
        <v>18510</v>
      </c>
      <c r="Q856">
        <v>0</v>
      </c>
      <c r="R856">
        <v>0</v>
      </c>
      <c r="S856">
        <f t="shared" si="13"/>
        <v>18510</v>
      </c>
      <c r="T856">
        <v>0</v>
      </c>
      <c r="U856">
        <v>0</v>
      </c>
      <c r="V856">
        <v>0</v>
      </c>
      <c r="W856">
        <v>21705</v>
      </c>
    </row>
    <row r="857" spans="1:23" ht="12.75">
      <c r="A857" t="s">
        <v>397</v>
      </c>
      <c r="B857" t="s">
        <v>398</v>
      </c>
      <c r="C857" t="s">
        <v>399</v>
      </c>
      <c r="D857" t="s">
        <v>400</v>
      </c>
      <c r="E857" t="s">
        <v>401</v>
      </c>
      <c r="F857" t="s">
        <v>1592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123872</v>
      </c>
      <c r="Q857">
        <v>0</v>
      </c>
      <c r="R857">
        <v>0</v>
      </c>
      <c r="S857">
        <f t="shared" si="13"/>
        <v>123872</v>
      </c>
      <c r="T857">
        <v>0</v>
      </c>
      <c r="U857">
        <v>0</v>
      </c>
      <c r="V857">
        <v>0</v>
      </c>
      <c r="W857">
        <v>123872</v>
      </c>
    </row>
    <row r="858" spans="1:23" ht="12.75">
      <c r="A858" t="s">
        <v>402</v>
      </c>
      <c r="B858" t="s">
        <v>403</v>
      </c>
      <c r="C858" t="s">
        <v>399</v>
      </c>
      <c r="D858" t="s">
        <v>404</v>
      </c>
      <c r="E858" t="s">
        <v>405</v>
      </c>
      <c r="F858" t="s">
        <v>1592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37155</v>
      </c>
      <c r="Q858">
        <v>0</v>
      </c>
      <c r="R858">
        <v>0</v>
      </c>
      <c r="S858">
        <f t="shared" si="13"/>
        <v>37155</v>
      </c>
      <c r="T858">
        <v>0</v>
      </c>
      <c r="U858">
        <v>0</v>
      </c>
      <c r="V858">
        <v>0</v>
      </c>
      <c r="W858">
        <v>37155</v>
      </c>
    </row>
    <row r="859" spans="1:23" ht="12.75">
      <c r="A859" t="s">
        <v>406</v>
      </c>
      <c r="B859" t="s">
        <v>407</v>
      </c>
      <c r="C859" t="s">
        <v>408</v>
      </c>
      <c r="D859" t="s">
        <v>409</v>
      </c>
      <c r="E859" t="s">
        <v>410</v>
      </c>
      <c r="F859" t="s">
        <v>1592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21278</v>
      </c>
      <c r="Q859">
        <v>0</v>
      </c>
      <c r="R859">
        <v>0</v>
      </c>
      <c r="S859">
        <f t="shared" si="13"/>
        <v>21278</v>
      </c>
      <c r="T859">
        <v>0</v>
      </c>
      <c r="U859">
        <v>0</v>
      </c>
      <c r="V859">
        <v>0</v>
      </c>
      <c r="W859">
        <v>21278</v>
      </c>
    </row>
    <row r="860" spans="1:23" ht="12.75">
      <c r="A860" t="s">
        <v>411</v>
      </c>
      <c r="B860" t="s">
        <v>412</v>
      </c>
      <c r="C860" t="s">
        <v>408</v>
      </c>
      <c r="D860" t="s">
        <v>413</v>
      </c>
      <c r="E860" t="s">
        <v>414</v>
      </c>
      <c r="F860" t="s">
        <v>1592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7431</v>
      </c>
      <c r="Q860">
        <v>0</v>
      </c>
      <c r="R860">
        <v>0</v>
      </c>
      <c r="S860">
        <f t="shared" si="13"/>
        <v>7431</v>
      </c>
      <c r="T860">
        <v>0</v>
      </c>
      <c r="U860">
        <v>0</v>
      </c>
      <c r="V860">
        <v>0</v>
      </c>
      <c r="W860">
        <v>7431</v>
      </c>
    </row>
    <row r="861" spans="1:23" ht="12.75">
      <c r="A861" t="s">
        <v>415</v>
      </c>
      <c r="B861" t="s">
        <v>416</v>
      </c>
      <c r="C861" t="s">
        <v>408</v>
      </c>
      <c r="D861" t="s">
        <v>417</v>
      </c>
      <c r="E861" t="s">
        <v>418</v>
      </c>
      <c r="F861" t="s">
        <v>1592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7431</v>
      </c>
      <c r="Q861">
        <v>0</v>
      </c>
      <c r="R861">
        <v>0</v>
      </c>
      <c r="S861">
        <f t="shared" si="13"/>
        <v>7431</v>
      </c>
      <c r="T861">
        <v>0</v>
      </c>
      <c r="U861">
        <v>0</v>
      </c>
      <c r="V861">
        <v>0</v>
      </c>
      <c r="W861">
        <v>7431</v>
      </c>
    </row>
    <row r="862" spans="1:23" ht="12.75">
      <c r="A862" t="s">
        <v>419</v>
      </c>
      <c r="B862" t="s">
        <v>420</v>
      </c>
      <c r="C862" t="s">
        <v>408</v>
      </c>
      <c r="D862" t="s">
        <v>421</v>
      </c>
      <c r="E862" t="s">
        <v>422</v>
      </c>
      <c r="F862" t="s">
        <v>1592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14862</v>
      </c>
      <c r="Q862">
        <v>0</v>
      </c>
      <c r="R862">
        <v>0</v>
      </c>
      <c r="S862">
        <f t="shared" si="13"/>
        <v>14862</v>
      </c>
      <c r="T862">
        <v>0</v>
      </c>
      <c r="U862">
        <v>0</v>
      </c>
      <c r="V862">
        <v>0</v>
      </c>
      <c r="W862">
        <v>14862</v>
      </c>
    </row>
    <row r="863" spans="1:23" ht="12.75">
      <c r="A863" t="s">
        <v>423</v>
      </c>
      <c r="B863" t="s">
        <v>424</v>
      </c>
      <c r="C863" t="s">
        <v>408</v>
      </c>
      <c r="D863" t="s">
        <v>425</v>
      </c>
      <c r="E863" t="s">
        <v>426</v>
      </c>
      <c r="F863" t="s">
        <v>1592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7431</v>
      </c>
      <c r="Q863">
        <v>0</v>
      </c>
      <c r="R863">
        <v>0</v>
      </c>
      <c r="S863">
        <f t="shared" si="13"/>
        <v>7431</v>
      </c>
      <c r="T863">
        <v>0</v>
      </c>
      <c r="U863">
        <v>0</v>
      </c>
      <c r="V863">
        <v>0</v>
      </c>
      <c r="W863">
        <v>7431</v>
      </c>
    </row>
    <row r="864" spans="1:23" ht="12.75">
      <c r="A864" t="s">
        <v>427</v>
      </c>
      <c r="B864" t="s">
        <v>428</v>
      </c>
      <c r="C864" t="s">
        <v>408</v>
      </c>
      <c r="D864" t="s">
        <v>429</v>
      </c>
      <c r="E864" t="s">
        <v>430</v>
      </c>
      <c r="F864" t="s">
        <v>1592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14862</v>
      </c>
      <c r="Q864">
        <v>0</v>
      </c>
      <c r="R864">
        <v>0</v>
      </c>
      <c r="S864">
        <f t="shared" si="13"/>
        <v>14862</v>
      </c>
      <c r="T864">
        <v>0</v>
      </c>
      <c r="U864">
        <v>0</v>
      </c>
      <c r="V864">
        <v>0</v>
      </c>
      <c r="W864">
        <v>14862</v>
      </c>
    </row>
    <row r="865" spans="1:23" ht="12.75">
      <c r="A865" t="s">
        <v>431</v>
      </c>
      <c r="B865" t="s">
        <v>432</v>
      </c>
      <c r="C865" t="s">
        <v>433</v>
      </c>
      <c r="D865" t="s">
        <v>434</v>
      </c>
      <c r="E865" t="s">
        <v>435</v>
      </c>
      <c r="F865" t="s">
        <v>1592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23393</v>
      </c>
      <c r="Q865">
        <v>0</v>
      </c>
      <c r="R865">
        <v>0</v>
      </c>
      <c r="S865">
        <f t="shared" si="13"/>
        <v>23393</v>
      </c>
      <c r="T865">
        <v>0</v>
      </c>
      <c r="U865">
        <v>0</v>
      </c>
      <c r="V865">
        <v>0</v>
      </c>
      <c r="W865">
        <v>23393</v>
      </c>
    </row>
    <row r="866" spans="1:23" ht="12.75">
      <c r="A866" t="s">
        <v>436</v>
      </c>
      <c r="B866" t="s">
        <v>437</v>
      </c>
      <c r="C866" t="s">
        <v>433</v>
      </c>
      <c r="D866" t="s">
        <v>438</v>
      </c>
      <c r="E866" t="s">
        <v>439</v>
      </c>
      <c r="F866" t="s">
        <v>1592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14862</v>
      </c>
      <c r="Q866">
        <v>0</v>
      </c>
      <c r="R866">
        <v>0</v>
      </c>
      <c r="S866">
        <f t="shared" si="13"/>
        <v>14862</v>
      </c>
      <c r="T866">
        <v>0</v>
      </c>
      <c r="U866">
        <v>0</v>
      </c>
      <c r="V866">
        <v>0</v>
      </c>
      <c r="W866">
        <v>14862</v>
      </c>
    </row>
    <row r="867" spans="1:23" ht="12.75">
      <c r="A867" t="s">
        <v>440</v>
      </c>
      <c r="B867" t="s">
        <v>441</v>
      </c>
      <c r="C867" t="s">
        <v>442</v>
      </c>
      <c r="D867" t="s">
        <v>443</v>
      </c>
      <c r="E867" t="s">
        <v>444</v>
      </c>
      <c r="F867" t="s">
        <v>1592</v>
      </c>
      <c r="G867">
        <v>0</v>
      </c>
      <c r="H867">
        <v>0</v>
      </c>
      <c r="I867">
        <v>1.5</v>
      </c>
      <c r="J867">
        <v>0.083</v>
      </c>
      <c r="K867">
        <v>39025</v>
      </c>
      <c r="L867">
        <v>0</v>
      </c>
      <c r="M867">
        <v>0</v>
      </c>
      <c r="N867">
        <v>0</v>
      </c>
      <c r="O867">
        <v>0</v>
      </c>
      <c r="P867">
        <v>16475</v>
      </c>
      <c r="Q867">
        <v>0</v>
      </c>
      <c r="R867">
        <v>0</v>
      </c>
      <c r="S867">
        <f t="shared" si="13"/>
        <v>16475</v>
      </c>
      <c r="T867">
        <v>0</v>
      </c>
      <c r="U867">
        <v>0</v>
      </c>
      <c r="V867">
        <v>0</v>
      </c>
      <c r="W867">
        <v>55500</v>
      </c>
    </row>
    <row r="868" spans="1:23" ht="12.75">
      <c r="A868" t="s">
        <v>445</v>
      </c>
      <c r="B868" t="s">
        <v>446</v>
      </c>
      <c r="C868" t="s">
        <v>442</v>
      </c>
      <c r="D868" t="s">
        <v>443</v>
      </c>
      <c r="E868" t="s">
        <v>447</v>
      </c>
      <c r="F868" t="s">
        <v>448</v>
      </c>
      <c r="G868">
        <v>0</v>
      </c>
      <c r="H868">
        <v>0</v>
      </c>
      <c r="I868">
        <v>0.5</v>
      </c>
      <c r="J868">
        <v>0</v>
      </c>
      <c r="K868">
        <v>11748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f t="shared" si="13"/>
        <v>0</v>
      </c>
      <c r="T868">
        <v>0</v>
      </c>
      <c r="U868">
        <v>0</v>
      </c>
      <c r="V868">
        <v>0</v>
      </c>
      <c r="W868">
        <v>11748</v>
      </c>
    </row>
    <row r="869" spans="1:23" ht="12.75">
      <c r="A869" t="s">
        <v>449</v>
      </c>
      <c r="B869" t="s">
        <v>450</v>
      </c>
      <c r="C869" t="s">
        <v>442</v>
      </c>
      <c r="D869" t="s">
        <v>451</v>
      </c>
      <c r="E869" t="s">
        <v>452</v>
      </c>
      <c r="F869" t="s">
        <v>1592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150818</v>
      </c>
      <c r="Q869">
        <v>0</v>
      </c>
      <c r="R869">
        <v>0</v>
      </c>
      <c r="S869">
        <f t="shared" si="13"/>
        <v>150818</v>
      </c>
      <c r="T869">
        <v>0</v>
      </c>
      <c r="U869">
        <v>0</v>
      </c>
      <c r="V869">
        <v>0</v>
      </c>
      <c r="W869">
        <v>150818</v>
      </c>
    </row>
    <row r="870" spans="1:23" ht="12.75">
      <c r="A870" t="s">
        <v>453</v>
      </c>
      <c r="B870" t="s">
        <v>454</v>
      </c>
      <c r="C870" t="s">
        <v>442</v>
      </c>
      <c r="D870" t="s">
        <v>455</v>
      </c>
      <c r="E870" t="s">
        <v>456</v>
      </c>
      <c r="F870" t="s">
        <v>448</v>
      </c>
      <c r="G870">
        <v>0</v>
      </c>
      <c r="H870">
        <v>0</v>
      </c>
      <c r="I870">
        <v>0</v>
      </c>
      <c r="J870">
        <v>0.203</v>
      </c>
      <c r="K870">
        <v>1746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f t="shared" si="13"/>
        <v>0</v>
      </c>
      <c r="T870">
        <v>0</v>
      </c>
      <c r="U870">
        <v>0</v>
      </c>
      <c r="V870">
        <v>0</v>
      </c>
      <c r="W870">
        <v>1746</v>
      </c>
    </row>
    <row r="871" spans="1:23" ht="12.75">
      <c r="A871" t="s">
        <v>457</v>
      </c>
      <c r="B871" t="s">
        <v>458</v>
      </c>
      <c r="C871" t="s">
        <v>442</v>
      </c>
      <c r="D871" t="s">
        <v>459</v>
      </c>
      <c r="E871" t="s">
        <v>460</v>
      </c>
      <c r="F871" t="s">
        <v>1592</v>
      </c>
      <c r="G871">
        <v>0</v>
      </c>
      <c r="H871">
        <v>0.112</v>
      </c>
      <c r="I871">
        <v>0</v>
      </c>
      <c r="J871">
        <v>0</v>
      </c>
      <c r="K871">
        <v>7497</v>
      </c>
      <c r="L871">
        <v>0</v>
      </c>
      <c r="M871">
        <v>0</v>
      </c>
      <c r="N871">
        <v>0</v>
      </c>
      <c r="O871">
        <v>0</v>
      </c>
      <c r="P871">
        <v>52503</v>
      </c>
      <c r="Q871">
        <v>0</v>
      </c>
      <c r="R871">
        <v>0</v>
      </c>
      <c r="S871">
        <f t="shared" si="13"/>
        <v>52503</v>
      </c>
      <c r="T871">
        <v>0</v>
      </c>
      <c r="U871">
        <v>0</v>
      </c>
      <c r="V871">
        <v>0</v>
      </c>
      <c r="W871">
        <v>60000</v>
      </c>
    </row>
    <row r="872" spans="1:23" ht="12.75">
      <c r="A872" t="s">
        <v>461</v>
      </c>
      <c r="B872" t="s">
        <v>462</v>
      </c>
      <c r="C872" t="s">
        <v>442</v>
      </c>
      <c r="D872" t="s">
        <v>459</v>
      </c>
      <c r="E872" t="s">
        <v>463</v>
      </c>
      <c r="F872" t="s">
        <v>448</v>
      </c>
      <c r="G872">
        <v>0</v>
      </c>
      <c r="H872">
        <v>0.037</v>
      </c>
      <c r="I872">
        <v>0</v>
      </c>
      <c r="J872">
        <v>0</v>
      </c>
      <c r="K872">
        <v>2499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f t="shared" si="13"/>
        <v>0</v>
      </c>
      <c r="T872">
        <v>0</v>
      </c>
      <c r="U872">
        <v>0</v>
      </c>
      <c r="V872">
        <v>0</v>
      </c>
      <c r="W872">
        <v>2499</v>
      </c>
    </row>
    <row r="873" spans="1:23" ht="12.75">
      <c r="A873" t="s">
        <v>464</v>
      </c>
      <c r="B873" t="s">
        <v>465</v>
      </c>
      <c r="C873" t="s">
        <v>442</v>
      </c>
      <c r="D873" t="s">
        <v>466</v>
      </c>
      <c r="E873" t="s">
        <v>467</v>
      </c>
      <c r="F873" t="s">
        <v>448</v>
      </c>
      <c r="G873">
        <v>0</v>
      </c>
      <c r="H873">
        <v>0.333</v>
      </c>
      <c r="I873">
        <v>0</v>
      </c>
      <c r="J873">
        <v>0.083</v>
      </c>
      <c r="K873">
        <v>19352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f t="shared" si="13"/>
        <v>0</v>
      </c>
      <c r="T873">
        <v>0</v>
      </c>
      <c r="U873">
        <v>0</v>
      </c>
      <c r="V873">
        <v>0</v>
      </c>
      <c r="W873">
        <v>19352</v>
      </c>
    </row>
    <row r="874" spans="1:23" ht="12.75">
      <c r="A874" t="s">
        <v>468</v>
      </c>
      <c r="B874" t="s">
        <v>469</v>
      </c>
      <c r="C874" t="s">
        <v>442</v>
      </c>
      <c r="D874" t="s">
        <v>470</v>
      </c>
      <c r="E874" t="s">
        <v>471</v>
      </c>
      <c r="F874" t="s">
        <v>1592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12150</v>
      </c>
      <c r="Q874">
        <v>0</v>
      </c>
      <c r="R874">
        <v>0</v>
      </c>
      <c r="S874">
        <f t="shared" si="13"/>
        <v>12150</v>
      </c>
      <c r="T874">
        <v>0</v>
      </c>
      <c r="U874">
        <v>0</v>
      </c>
      <c r="V874">
        <v>0</v>
      </c>
      <c r="W874">
        <v>12150</v>
      </c>
    </row>
    <row r="875" spans="1:23" ht="12.75">
      <c r="A875" t="s">
        <v>472</v>
      </c>
      <c r="B875" t="s">
        <v>473</v>
      </c>
      <c r="C875" t="s">
        <v>442</v>
      </c>
      <c r="D875" t="s">
        <v>474</v>
      </c>
      <c r="E875" t="s">
        <v>475</v>
      </c>
      <c r="F875" t="s">
        <v>1592</v>
      </c>
      <c r="G875">
        <v>0</v>
      </c>
      <c r="H875">
        <v>0</v>
      </c>
      <c r="I875">
        <v>0</v>
      </c>
      <c r="J875">
        <v>0.106</v>
      </c>
      <c r="K875">
        <v>5913</v>
      </c>
      <c r="L875">
        <v>0</v>
      </c>
      <c r="M875">
        <v>0</v>
      </c>
      <c r="N875">
        <v>0</v>
      </c>
      <c r="O875">
        <v>0</v>
      </c>
      <c r="P875">
        <v>39087</v>
      </c>
      <c r="Q875">
        <v>0</v>
      </c>
      <c r="R875">
        <v>0</v>
      </c>
      <c r="S875">
        <f t="shared" si="13"/>
        <v>39087</v>
      </c>
      <c r="T875">
        <v>0</v>
      </c>
      <c r="U875">
        <v>0</v>
      </c>
      <c r="V875">
        <v>0</v>
      </c>
      <c r="W875">
        <v>45000</v>
      </c>
    </row>
    <row r="876" spans="1:23" ht="12.75">
      <c r="A876" t="s">
        <v>476</v>
      </c>
      <c r="B876" t="s">
        <v>477</v>
      </c>
      <c r="C876" t="s">
        <v>442</v>
      </c>
      <c r="D876" t="s">
        <v>474</v>
      </c>
      <c r="E876" t="s">
        <v>478</v>
      </c>
      <c r="F876" t="s">
        <v>448</v>
      </c>
      <c r="G876">
        <v>0</v>
      </c>
      <c r="H876">
        <v>0</v>
      </c>
      <c r="I876">
        <v>0</v>
      </c>
      <c r="J876">
        <v>0.035</v>
      </c>
      <c r="K876">
        <v>1971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f t="shared" si="13"/>
        <v>0</v>
      </c>
      <c r="T876">
        <v>0</v>
      </c>
      <c r="U876">
        <v>0</v>
      </c>
      <c r="V876">
        <v>0</v>
      </c>
      <c r="W876">
        <v>1971</v>
      </c>
    </row>
    <row r="877" spans="1:23" ht="12.75">
      <c r="A877" t="s">
        <v>479</v>
      </c>
      <c r="B877" t="s">
        <v>480</v>
      </c>
      <c r="C877" t="s">
        <v>442</v>
      </c>
      <c r="D877" t="s">
        <v>481</v>
      </c>
      <c r="E877" t="s">
        <v>482</v>
      </c>
      <c r="F877" t="s">
        <v>448</v>
      </c>
      <c r="G877">
        <v>0</v>
      </c>
      <c r="H877">
        <v>0</v>
      </c>
      <c r="I877">
        <v>0.059</v>
      </c>
      <c r="J877">
        <v>0</v>
      </c>
      <c r="K877">
        <v>270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f t="shared" si="13"/>
        <v>0</v>
      </c>
      <c r="T877">
        <v>0</v>
      </c>
      <c r="U877">
        <v>0</v>
      </c>
      <c r="V877">
        <v>0</v>
      </c>
      <c r="W877">
        <v>270</v>
      </c>
    </row>
    <row r="878" spans="1:23" ht="12.75">
      <c r="A878" t="s">
        <v>483</v>
      </c>
      <c r="B878" t="s">
        <v>484</v>
      </c>
      <c r="C878" t="s">
        <v>485</v>
      </c>
      <c r="D878" t="s">
        <v>486</v>
      </c>
      <c r="E878" t="s">
        <v>487</v>
      </c>
      <c r="F878" t="s">
        <v>448</v>
      </c>
      <c r="G878">
        <v>0</v>
      </c>
      <c r="H878">
        <v>0</v>
      </c>
      <c r="I878">
        <v>0</v>
      </c>
      <c r="J878">
        <v>0.083</v>
      </c>
      <c r="K878">
        <v>3998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f t="shared" si="13"/>
        <v>0</v>
      </c>
      <c r="T878">
        <v>0</v>
      </c>
      <c r="U878">
        <v>0</v>
      </c>
      <c r="V878">
        <v>0</v>
      </c>
      <c r="W878">
        <v>3998</v>
      </c>
    </row>
    <row r="879" spans="1:23" ht="12.75">
      <c r="A879" t="s">
        <v>488</v>
      </c>
      <c r="B879" t="s">
        <v>489</v>
      </c>
      <c r="C879" t="s">
        <v>485</v>
      </c>
      <c r="D879" t="s">
        <v>490</v>
      </c>
      <c r="E879" t="s">
        <v>491</v>
      </c>
      <c r="F879" t="s">
        <v>1592</v>
      </c>
      <c r="G879">
        <v>0</v>
      </c>
      <c r="H879">
        <v>0</v>
      </c>
      <c r="I879">
        <v>0.706</v>
      </c>
      <c r="J879">
        <v>0</v>
      </c>
      <c r="K879">
        <v>9702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f t="shared" si="13"/>
        <v>0</v>
      </c>
      <c r="T879">
        <v>0</v>
      </c>
      <c r="U879">
        <v>0</v>
      </c>
      <c r="V879">
        <v>0</v>
      </c>
      <c r="W879">
        <v>9702</v>
      </c>
    </row>
    <row r="880" spans="1:23" ht="12.75">
      <c r="A880" t="s">
        <v>492</v>
      </c>
      <c r="B880" t="s">
        <v>493</v>
      </c>
      <c r="C880" t="s">
        <v>485</v>
      </c>
      <c r="D880" t="s">
        <v>490</v>
      </c>
      <c r="E880" t="s">
        <v>494</v>
      </c>
      <c r="F880" t="s">
        <v>448</v>
      </c>
      <c r="G880">
        <v>0</v>
      </c>
      <c r="H880">
        <v>0</v>
      </c>
      <c r="I880">
        <v>0.235</v>
      </c>
      <c r="J880">
        <v>0</v>
      </c>
      <c r="K880">
        <v>3234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f t="shared" si="13"/>
        <v>0</v>
      </c>
      <c r="T880">
        <v>0</v>
      </c>
      <c r="U880">
        <v>0</v>
      </c>
      <c r="V880">
        <v>0</v>
      </c>
      <c r="W880">
        <v>3234</v>
      </c>
    </row>
    <row r="881" spans="1:23" ht="12.75">
      <c r="A881" t="s">
        <v>495</v>
      </c>
      <c r="B881" t="s">
        <v>496</v>
      </c>
      <c r="C881" t="s">
        <v>485</v>
      </c>
      <c r="D881" t="s">
        <v>497</v>
      </c>
      <c r="E881" t="s">
        <v>498</v>
      </c>
      <c r="F881" t="s">
        <v>448</v>
      </c>
      <c r="G881">
        <v>0</v>
      </c>
      <c r="H881">
        <v>0</v>
      </c>
      <c r="I881">
        <v>0</v>
      </c>
      <c r="J881">
        <v>0.081</v>
      </c>
      <c r="K881">
        <v>3542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f t="shared" si="13"/>
        <v>0</v>
      </c>
      <c r="T881">
        <v>0</v>
      </c>
      <c r="U881">
        <v>0</v>
      </c>
      <c r="V881">
        <v>0</v>
      </c>
      <c r="W881">
        <v>3542</v>
      </c>
    </row>
    <row r="882" spans="1:23" ht="12.75">
      <c r="A882" t="s">
        <v>499</v>
      </c>
      <c r="B882" t="s">
        <v>500</v>
      </c>
      <c r="C882" t="s">
        <v>485</v>
      </c>
      <c r="D882" t="s">
        <v>501</v>
      </c>
      <c r="E882" t="s">
        <v>502</v>
      </c>
      <c r="F882" t="s">
        <v>1592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100354</v>
      </c>
      <c r="Q882">
        <v>0</v>
      </c>
      <c r="R882">
        <v>0</v>
      </c>
      <c r="S882">
        <f t="shared" si="13"/>
        <v>100354</v>
      </c>
      <c r="T882">
        <v>0</v>
      </c>
      <c r="U882">
        <v>0</v>
      </c>
      <c r="V882">
        <v>0</v>
      </c>
      <c r="W882">
        <v>100354</v>
      </c>
    </row>
    <row r="883" spans="1:23" ht="12.75">
      <c r="A883" t="s">
        <v>503</v>
      </c>
      <c r="B883" t="s">
        <v>504</v>
      </c>
      <c r="C883" t="s">
        <v>485</v>
      </c>
      <c r="D883" t="s">
        <v>505</v>
      </c>
      <c r="E883" t="s">
        <v>506</v>
      </c>
      <c r="F883" t="s">
        <v>1592</v>
      </c>
      <c r="G883">
        <v>0</v>
      </c>
      <c r="H883">
        <v>0</v>
      </c>
      <c r="I883">
        <v>0.692</v>
      </c>
      <c r="J883">
        <v>0</v>
      </c>
      <c r="K883">
        <v>14967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f t="shared" si="13"/>
        <v>0</v>
      </c>
      <c r="T883">
        <v>0</v>
      </c>
      <c r="U883">
        <v>0</v>
      </c>
      <c r="V883">
        <v>0</v>
      </c>
      <c r="W883">
        <v>14967</v>
      </c>
    </row>
    <row r="884" spans="1:23" ht="12.75">
      <c r="A884" t="s">
        <v>507</v>
      </c>
      <c r="B884" t="s">
        <v>508</v>
      </c>
      <c r="C884" t="s">
        <v>485</v>
      </c>
      <c r="D884" t="s">
        <v>505</v>
      </c>
      <c r="E884" t="s">
        <v>509</v>
      </c>
      <c r="F884" t="s">
        <v>448</v>
      </c>
      <c r="G884">
        <v>0</v>
      </c>
      <c r="H884">
        <v>0</v>
      </c>
      <c r="I884">
        <v>0.154</v>
      </c>
      <c r="J884">
        <v>0</v>
      </c>
      <c r="K884">
        <v>3326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f t="shared" si="13"/>
        <v>0</v>
      </c>
      <c r="T884">
        <v>0</v>
      </c>
      <c r="U884">
        <v>0</v>
      </c>
      <c r="V884">
        <v>0</v>
      </c>
      <c r="W884">
        <v>3326</v>
      </c>
    </row>
    <row r="885" spans="1:23" ht="12.75">
      <c r="A885" t="s">
        <v>510</v>
      </c>
      <c r="B885" t="s">
        <v>511</v>
      </c>
      <c r="C885" t="s">
        <v>485</v>
      </c>
      <c r="D885" t="s">
        <v>512</v>
      </c>
      <c r="E885" t="s">
        <v>513</v>
      </c>
      <c r="F885" t="s">
        <v>448</v>
      </c>
      <c r="G885">
        <v>0</v>
      </c>
      <c r="H885">
        <v>0</v>
      </c>
      <c r="I885">
        <v>0.132</v>
      </c>
      <c r="J885">
        <v>0</v>
      </c>
      <c r="K885">
        <v>600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f t="shared" si="13"/>
        <v>0</v>
      </c>
      <c r="T885">
        <v>0</v>
      </c>
      <c r="U885">
        <v>0</v>
      </c>
      <c r="V885">
        <v>0</v>
      </c>
      <c r="W885">
        <v>600</v>
      </c>
    </row>
    <row r="886" spans="1:23" ht="12.75">
      <c r="A886" t="s">
        <v>514</v>
      </c>
      <c r="B886" t="s">
        <v>515</v>
      </c>
      <c r="C886" t="s">
        <v>485</v>
      </c>
      <c r="D886" t="s">
        <v>516</v>
      </c>
      <c r="E886" t="s">
        <v>517</v>
      </c>
      <c r="F886" t="s">
        <v>1592</v>
      </c>
      <c r="G886">
        <v>0</v>
      </c>
      <c r="H886">
        <v>0</v>
      </c>
      <c r="I886">
        <v>0.667</v>
      </c>
      <c r="J886">
        <v>0</v>
      </c>
      <c r="K886">
        <v>11672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f t="shared" si="13"/>
        <v>0</v>
      </c>
      <c r="T886">
        <v>0</v>
      </c>
      <c r="U886">
        <v>0</v>
      </c>
      <c r="V886">
        <v>0</v>
      </c>
      <c r="W886">
        <v>11672</v>
      </c>
    </row>
    <row r="887" spans="1:23" ht="12.75">
      <c r="A887" t="s">
        <v>518</v>
      </c>
      <c r="B887" t="s">
        <v>519</v>
      </c>
      <c r="C887" t="s">
        <v>485</v>
      </c>
      <c r="D887" t="s">
        <v>520</v>
      </c>
      <c r="E887" t="s">
        <v>521</v>
      </c>
      <c r="F887" t="s">
        <v>448</v>
      </c>
      <c r="G887">
        <v>0</v>
      </c>
      <c r="H887">
        <v>0</v>
      </c>
      <c r="I887">
        <v>0.077</v>
      </c>
      <c r="J887">
        <v>0.248</v>
      </c>
      <c r="K887">
        <v>13201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f t="shared" si="13"/>
        <v>0</v>
      </c>
      <c r="T887">
        <v>0</v>
      </c>
      <c r="U887">
        <v>0</v>
      </c>
      <c r="V887">
        <v>0</v>
      </c>
      <c r="W887">
        <v>13201</v>
      </c>
    </row>
    <row r="888" spans="1:23" ht="12.75">
      <c r="A888" t="s">
        <v>760</v>
      </c>
      <c r="B888" t="s">
        <v>761</v>
      </c>
      <c r="C888" t="s">
        <v>762</v>
      </c>
      <c r="D888" t="s">
        <v>763</v>
      </c>
      <c r="F888" t="s">
        <v>1592</v>
      </c>
      <c r="G888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f t="shared" si="13"/>
        <v>0</v>
      </c>
      <c r="T888">
        <v>500</v>
      </c>
      <c r="U888">
        <v>0</v>
      </c>
      <c r="V888">
        <v>0</v>
      </c>
      <c r="W888">
        <v>500</v>
      </c>
    </row>
    <row r="889" spans="1:23" ht="12.75">
      <c r="A889" t="s">
        <v>764</v>
      </c>
      <c r="B889" t="s">
        <v>765</v>
      </c>
      <c r="C889" t="s">
        <v>762</v>
      </c>
      <c r="D889" t="s">
        <v>766</v>
      </c>
      <c r="F889" t="s">
        <v>1592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f t="shared" si="13"/>
        <v>0</v>
      </c>
      <c r="T889">
        <v>1500</v>
      </c>
      <c r="U889">
        <v>0</v>
      </c>
      <c r="V889">
        <v>0</v>
      </c>
      <c r="W889">
        <v>1500</v>
      </c>
    </row>
    <row r="890" spans="1:23" ht="12.75">
      <c r="A890" t="s">
        <v>767</v>
      </c>
      <c r="B890" t="s">
        <v>768</v>
      </c>
      <c r="C890" t="s">
        <v>762</v>
      </c>
      <c r="D890" t="s">
        <v>769</v>
      </c>
      <c r="F890" t="s">
        <v>1592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f t="shared" si="13"/>
        <v>0</v>
      </c>
      <c r="T890">
        <v>1000</v>
      </c>
      <c r="U890">
        <v>0</v>
      </c>
      <c r="V890">
        <v>0</v>
      </c>
      <c r="W890">
        <v>1000</v>
      </c>
    </row>
    <row r="891" spans="1:23" ht="12.75">
      <c r="A891" t="s">
        <v>770</v>
      </c>
      <c r="B891" t="s">
        <v>771</v>
      </c>
      <c r="C891" t="s">
        <v>762</v>
      </c>
      <c r="D891" t="s">
        <v>772</v>
      </c>
      <c r="F891" t="s">
        <v>1592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f t="shared" si="13"/>
        <v>0</v>
      </c>
      <c r="T891">
        <v>37000</v>
      </c>
      <c r="U891">
        <v>0</v>
      </c>
      <c r="V891">
        <v>0</v>
      </c>
      <c r="W891">
        <v>37000</v>
      </c>
    </row>
    <row r="892" spans="1:23" ht="12.75">
      <c r="A892" t="s">
        <v>773</v>
      </c>
      <c r="B892" t="s">
        <v>774</v>
      </c>
      <c r="C892" t="s">
        <v>762</v>
      </c>
      <c r="D892" t="s">
        <v>775</v>
      </c>
      <c r="F892" t="s">
        <v>1592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f t="shared" si="13"/>
        <v>0</v>
      </c>
      <c r="T892">
        <v>12000</v>
      </c>
      <c r="U892">
        <v>0</v>
      </c>
      <c r="V892">
        <v>0</v>
      </c>
      <c r="W892">
        <v>12000</v>
      </c>
    </row>
    <row r="893" spans="1:23" ht="12.75">
      <c r="A893" t="s">
        <v>776</v>
      </c>
      <c r="B893" t="s">
        <v>1947</v>
      </c>
      <c r="C893" t="s">
        <v>762</v>
      </c>
      <c r="D893" t="s">
        <v>777</v>
      </c>
      <c r="F893" t="s">
        <v>1592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f t="shared" si="13"/>
        <v>0</v>
      </c>
      <c r="T893">
        <v>700</v>
      </c>
      <c r="U893">
        <v>0</v>
      </c>
      <c r="V893">
        <v>0</v>
      </c>
      <c r="W893">
        <v>700</v>
      </c>
    </row>
    <row r="894" spans="1:23" ht="12.75">
      <c r="A894" t="s">
        <v>778</v>
      </c>
      <c r="B894" t="s">
        <v>779</v>
      </c>
      <c r="C894" t="s">
        <v>762</v>
      </c>
      <c r="D894" t="s">
        <v>780</v>
      </c>
      <c r="F894" t="s">
        <v>1592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f t="shared" si="13"/>
        <v>0</v>
      </c>
      <c r="T894">
        <v>2000</v>
      </c>
      <c r="U894">
        <v>0</v>
      </c>
      <c r="V894">
        <v>0</v>
      </c>
      <c r="W894">
        <v>2000</v>
      </c>
    </row>
    <row r="895" spans="1:23" ht="12.75">
      <c r="A895" t="s">
        <v>781</v>
      </c>
      <c r="B895" t="s">
        <v>782</v>
      </c>
      <c r="C895" t="s">
        <v>762</v>
      </c>
      <c r="D895" t="s">
        <v>783</v>
      </c>
      <c r="F895" t="s">
        <v>1592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f t="shared" si="13"/>
        <v>0</v>
      </c>
      <c r="T895">
        <v>1500</v>
      </c>
      <c r="U895">
        <v>0</v>
      </c>
      <c r="V895">
        <v>0</v>
      </c>
      <c r="W895">
        <v>1500</v>
      </c>
    </row>
    <row r="896" spans="1:23" ht="12.75">
      <c r="A896" t="s">
        <v>784</v>
      </c>
      <c r="B896" t="s">
        <v>785</v>
      </c>
      <c r="C896" t="s">
        <v>762</v>
      </c>
      <c r="D896" t="s">
        <v>786</v>
      </c>
      <c r="F896" t="s">
        <v>1592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f t="shared" si="13"/>
        <v>0</v>
      </c>
      <c r="T896">
        <v>1000</v>
      </c>
      <c r="U896">
        <v>0</v>
      </c>
      <c r="V896">
        <v>0</v>
      </c>
      <c r="W896">
        <v>1000</v>
      </c>
    </row>
    <row r="897" spans="1:23" ht="12.75">
      <c r="A897" t="s">
        <v>787</v>
      </c>
      <c r="B897" t="s">
        <v>788</v>
      </c>
      <c r="C897" t="s">
        <v>762</v>
      </c>
      <c r="D897" t="s">
        <v>789</v>
      </c>
      <c r="F897" t="s">
        <v>1592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f t="shared" si="13"/>
        <v>0</v>
      </c>
      <c r="T897">
        <v>7500</v>
      </c>
      <c r="U897">
        <v>0</v>
      </c>
      <c r="V897">
        <v>0</v>
      </c>
      <c r="W897">
        <v>7500</v>
      </c>
    </row>
    <row r="898" spans="1:23" ht="12.75">
      <c r="A898" t="s">
        <v>790</v>
      </c>
      <c r="B898" t="s">
        <v>791</v>
      </c>
      <c r="C898" t="s">
        <v>762</v>
      </c>
      <c r="D898" t="s">
        <v>792</v>
      </c>
      <c r="F898" t="s">
        <v>1592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f t="shared" si="13"/>
        <v>0</v>
      </c>
      <c r="T898">
        <v>5000</v>
      </c>
      <c r="U898">
        <v>0</v>
      </c>
      <c r="V898">
        <v>0</v>
      </c>
      <c r="W898">
        <v>5000</v>
      </c>
    </row>
    <row r="899" spans="1:23" ht="12.75">
      <c r="A899" t="s">
        <v>793</v>
      </c>
      <c r="B899" t="s">
        <v>794</v>
      </c>
      <c r="C899" t="s">
        <v>762</v>
      </c>
      <c r="D899" t="s">
        <v>795</v>
      </c>
      <c r="F899" t="s">
        <v>1592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f t="shared" si="13"/>
        <v>0</v>
      </c>
      <c r="T899">
        <v>1000</v>
      </c>
      <c r="U899">
        <v>0</v>
      </c>
      <c r="V899">
        <v>0</v>
      </c>
      <c r="W899">
        <v>1000</v>
      </c>
    </row>
    <row r="900" spans="1:23" ht="12.75">
      <c r="A900" t="s">
        <v>796</v>
      </c>
      <c r="B900" t="s">
        <v>797</v>
      </c>
      <c r="C900" t="s">
        <v>762</v>
      </c>
      <c r="D900" t="s">
        <v>798</v>
      </c>
      <c r="F900" t="s">
        <v>1592</v>
      </c>
      <c r="G900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0</v>
      </c>
      <c r="S900">
        <f t="shared" si="13"/>
        <v>0</v>
      </c>
      <c r="T900">
        <v>4500</v>
      </c>
      <c r="U900">
        <v>0</v>
      </c>
      <c r="V900">
        <v>0</v>
      </c>
      <c r="W900">
        <v>4500</v>
      </c>
    </row>
    <row r="901" spans="1:23" ht="12.75">
      <c r="A901" t="s">
        <v>799</v>
      </c>
      <c r="B901" t="s">
        <v>800</v>
      </c>
      <c r="C901" t="s">
        <v>762</v>
      </c>
      <c r="D901" t="s">
        <v>801</v>
      </c>
      <c r="F901" t="s">
        <v>1592</v>
      </c>
      <c r="G901">
        <v>0</v>
      </c>
      <c r="H901">
        <v>0.006</v>
      </c>
      <c r="I901">
        <v>0</v>
      </c>
      <c r="J901">
        <v>0</v>
      </c>
      <c r="K901">
        <v>500</v>
      </c>
      <c r="L901">
        <v>0</v>
      </c>
      <c r="M901">
        <v>0</v>
      </c>
      <c r="N901">
        <v>0</v>
      </c>
      <c r="O901">
        <v>1800</v>
      </c>
      <c r="P901">
        <v>5000</v>
      </c>
      <c r="Q901">
        <v>4500</v>
      </c>
      <c r="R901">
        <v>500</v>
      </c>
      <c r="S901">
        <f t="shared" si="13"/>
        <v>10000</v>
      </c>
      <c r="T901">
        <v>1000</v>
      </c>
      <c r="U901">
        <v>0</v>
      </c>
      <c r="V901">
        <v>7000</v>
      </c>
      <c r="W901">
        <v>20300</v>
      </c>
    </row>
    <row r="902" spans="1:23" ht="12.75">
      <c r="A902" t="s">
        <v>802</v>
      </c>
      <c r="B902" t="s">
        <v>803</v>
      </c>
      <c r="C902" t="s">
        <v>762</v>
      </c>
      <c r="D902" t="s">
        <v>804</v>
      </c>
      <c r="F902" t="s">
        <v>1592</v>
      </c>
      <c r="G902">
        <v>0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f t="shared" si="13"/>
        <v>0</v>
      </c>
      <c r="T902">
        <v>2000</v>
      </c>
      <c r="U902">
        <v>0</v>
      </c>
      <c r="V902">
        <v>0</v>
      </c>
      <c r="W902">
        <v>2000</v>
      </c>
    </row>
    <row r="903" spans="1:23" ht="12.75">
      <c r="A903" t="s">
        <v>805</v>
      </c>
      <c r="B903" t="s">
        <v>806</v>
      </c>
      <c r="C903" t="s">
        <v>762</v>
      </c>
      <c r="D903" t="s">
        <v>807</v>
      </c>
      <c r="F903" t="s">
        <v>1592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f t="shared" si="13"/>
        <v>0</v>
      </c>
      <c r="T903">
        <v>6000</v>
      </c>
      <c r="U903">
        <v>0</v>
      </c>
      <c r="V903">
        <v>0</v>
      </c>
      <c r="W903">
        <v>6000</v>
      </c>
    </row>
    <row r="904" spans="1:23" ht="12.75">
      <c r="A904" t="s">
        <v>808</v>
      </c>
      <c r="B904" t="s">
        <v>809</v>
      </c>
      <c r="C904" t="s">
        <v>762</v>
      </c>
      <c r="D904" t="s">
        <v>810</v>
      </c>
      <c r="F904" t="s">
        <v>1592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f t="shared" si="13"/>
        <v>0</v>
      </c>
      <c r="T904">
        <v>500</v>
      </c>
      <c r="U904">
        <v>0</v>
      </c>
      <c r="V904">
        <v>0</v>
      </c>
      <c r="W904">
        <v>500</v>
      </c>
    </row>
    <row r="905" spans="1:23" ht="12.75">
      <c r="A905" t="s">
        <v>811</v>
      </c>
      <c r="B905" t="s">
        <v>812</v>
      </c>
      <c r="C905" t="s">
        <v>762</v>
      </c>
      <c r="D905" t="s">
        <v>813</v>
      </c>
      <c r="F905" t="s">
        <v>1592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f t="shared" si="13"/>
        <v>0</v>
      </c>
      <c r="T905">
        <v>1250</v>
      </c>
      <c r="U905">
        <v>0</v>
      </c>
      <c r="V905">
        <v>0</v>
      </c>
      <c r="W905">
        <v>1250</v>
      </c>
    </row>
    <row r="906" spans="1:23" ht="12.75">
      <c r="A906" t="s">
        <v>814</v>
      </c>
      <c r="B906" t="s">
        <v>815</v>
      </c>
      <c r="C906" t="s">
        <v>762</v>
      </c>
      <c r="D906" t="s">
        <v>816</v>
      </c>
      <c r="F906" t="s">
        <v>1592</v>
      </c>
      <c r="G906">
        <v>0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f t="shared" si="13"/>
        <v>0</v>
      </c>
      <c r="T906">
        <v>2000</v>
      </c>
      <c r="U906">
        <v>0</v>
      </c>
      <c r="V906">
        <v>0</v>
      </c>
      <c r="W906">
        <v>2000</v>
      </c>
    </row>
    <row r="907" spans="1:23" ht="12.75">
      <c r="A907" t="s">
        <v>817</v>
      </c>
      <c r="B907" t="s">
        <v>818</v>
      </c>
      <c r="C907" t="s">
        <v>762</v>
      </c>
      <c r="D907" t="s">
        <v>819</v>
      </c>
      <c r="F907" t="s">
        <v>1592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f aca="true" t="shared" si="14" ref="S907:S937">SUM(P907:R907)</f>
        <v>0</v>
      </c>
      <c r="T907">
        <v>1000</v>
      </c>
      <c r="U907">
        <v>0</v>
      </c>
      <c r="V907">
        <v>0</v>
      </c>
      <c r="W907">
        <v>1000</v>
      </c>
    </row>
    <row r="908" spans="1:23" ht="12.75">
      <c r="A908" t="s">
        <v>820</v>
      </c>
      <c r="B908" t="s">
        <v>821</v>
      </c>
      <c r="C908" t="s">
        <v>762</v>
      </c>
      <c r="D908" t="s">
        <v>822</v>
      </c>
      <c r="F908" t="s">
        <v>1592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f t="shared" si="14"/>
        <v>0</v>
      </c>
      <c r="T908">
        <v>750</v>
      </c>
      <c r="U908">
        <v>0</v>
      </c>
      <c r="V908">
        <v>0</v>
      </c>
      <c r="W908">
        <v>750</v>
      </c>
    </row>
    <row r="909" spans="1:23" ht="12.75">
      <c r="A909" t="s">
        <v>823</v>
      </c>
      <c r="B909" t="s">
        <v>824</v>
      </c>
      <c r="C909" t="s">
        <v>762</v>
      </c>
      <c r="D909" t="s">
        <v>825</v>
      </c>
      <c r="F909" t="s">
        <v>1592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f t="shared" si="14"/>
        <v>0</v>
      </c>
      <c r="T909">
        <v>6000</v>
      </c>
      <c r="U909">
        <v>0</v>
      </c>
      <c r="V909">
        <v>0</v>
      </c>
      <c r="W909">
        <v>6000</v>
      </c>
    </row>
    <row r="910" spans="1:23" ht="12.75">
      <c r="A910" t="s">
        <v>826</v>
      </c>
      <c r="B910" t="s">
        <v>827</v>
      </c>
      <c r="C910" t="s">
        <v>762</v>
      </c>
      <c r="D910" t="s">
        <v>828</v>
      </c>
      <c r="F910" t="s">
        <v>1592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f t="shared" si="14"/>
        <v>0</v>
      </c>
      <c r="T910">
        <v>6500</v>
      </c>
      <c r="U910">
        <v>0</v>
      </c>
      <c r="V910">
        <v>0</v>
      </c>
      <c r="W910">
        <v>6500</v>
      </c>
    </row>
    <row r="911" spans="1:23" ht="12.75">
      <c r="A911" t="s">
        <v>829</v>
      </c>
      <c r="B911" t="s">
        <v>830</v>
      </c>
      <c r="C911" t="s">
        <v>831</v>
      </c>
      <c r="D911" t="s">
        <v>832</v>
      </c>
      <c r="F911" t="s">
        <v>1592</v>
      </c>
      <c r="G911">
        <v>0</v>
      </c>
      <c r="H911">
        <v>0.312</v>
      </c>
      <c r="I911">
        <v>0</v>
      </c>
      <c r="J911">
        <v>0</v>
      </c>
      <c r="K911">
        <v>30000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f t="shared" si="14"/>
        <v>0</v>
      </c>
      <c r="T911">
        <v>0</v>
      </c>
      <c r="U911">
        <v>0</v>
      </c>
      <c r="V911">
        <v>0</v>
      </c>
      <c r="W911">
        <v>30000</v>
      </c>
    </row>
    <row r="912" spans="1:23" ht="12.75">
      <c r="A912" t="s">
        <v>833</v>
      </c>
      <c r="B912" t="s">
        <v>834</v>
      </c>
      <c r="C912" t="s">
        <v>831</v>
      </c>
      <c r="D912" t="s">
        <v>835</v>
      </c>
      <c r="F912" t="s">
        <v>1592</v>
      </c>
      <c r="G912">
        <v>0</v>
      </c>
      <c r="H912">
        <v>1</v>
      </c>
      <c r="I912">
        <v>0</v>
      </c>
      <c r="J912">
        <v>0</v>
      </c>
      <c r="K912">
        <v>28944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f t="shared" si="14"/>
        <v>0</v>
      </c>
      <c r="T912">
        <v>0</v>
      </c>
      <c r="U912">
        <v>0</v>
      </c>
      <c r="V912">
        <v>0</v>
      </c>
      <c r="W912">
        <v>28944</v>
      </c>
    </row>
    <row r="913" spans="1:23" ht="12.75">
      <c r="A913" t="s">
        <v>836</v>
      </c>
      <c r="B913" t="s">
        <v>837</v>
      </c>
      <c r="C913" t="s">
        <v>831</v>
      </c>
      <c r="D913" t="s">
        <v>838</v>
      </c>
      <c r="F913" t="s">
        <v>1592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6771</v>
      </c>
      <c r="M913">
        <v>0</v>
      </c>
      <c r="N913">
        <v>0</v>
      </c>
      <c r="O913">
        <v>0</v>
      </c>
      <c r="P913">
        <v>500</v>
      </c>
      <c r="Q913">
        <v>500</v>
      </c>
      <c r="R913">
        <v>0</v>
      </c>
      <c r="S913">
        <f t="shared" si="14"/>
        <v>1000</v>
      </c>
      <c r="T913">
        <v>0</v>
      </c>
      <c r="U913">
        <v>0</v>
      </c>
      <c r="V913">
        <v>500</v>
      </c>
      <c r="W913">
        <v>8271</v>
      </c>
    </row>
    <row r="914" spans="1:23" ht="12.75">
      <c r="A914" t="s">
        <v>839</v>
      </c>
      <c r="B914" t="s">
        <v>840</v>
      </c>
      <c r="C914" t="s">
        <v>526</v>
      </c>
      <c r="D914" t="s">
        <v>841</v>
      </c>
      <c r="F914" t="s">
        <v>1592</v>
      </c>
      <c r="G914">
        <v>0</v>
      </c>
      <c r="H914">
        <v>0.152</v>
      </c>
      <c r="I914">
        <v>0</v>
      </c>
      <c r="J914">
        <v>0</v>
      </c>
      <c r="K914">
        <v>13236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f t="shared" si="14"/>
        <v>0</v>
      </c>
      <c r="T914">
        <v>0</v>
      </c>
      <c r="U914">
        <v>0</v>
      </c>
      <c r="V914">
        <v>0</v>
      </c>
      <c r="W914">
        <v>13236</v>
      </c>
    </row>
    <row r="915" spans="1:23" ht="12.75">
      <c r="A915" t="s">
        <v>842</v>
      </c>
      <c r="B915" t="s">
        <v>843</v>
      </c>
      <c r="C915" t="s">
        <v>831</v>
      </c>
      <c r="D915" t="s">
        <v>844</v>
      </c>
      <c r="F915" t="s">
        <v>1592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24500</v>
      </c>
      <c r="Q915">
        <v>0</v>
      </c>
      <c r="R915">
        <v>0</v>
      </c>
      <c r="S915">
        <f t="shared" si="14"/>
        <v>24500</v>
      </c>
      <c r="T915">
        <v>0</v>
      </c>
      <c r="U915">
        <v>0</v>
      </c>
      <c r="V915">
        <v>0</v>
      </c>
      <c r="W915">
        <v>24500</v>
      </c>
    </row>
    <row r="916" spans="1:23" ht="12.75">
      <c r="A916" t="s">
        <v>845</v>
      </c>
      <c r="B916" t="s">
        <v>846</v>
      </c>
      <c r="C916" t="s">
        <v>831</v>
      </c>
      <c r="D916" t="s">
        <v>847</v>
      </c>
      <c r="F916" t="s">
        <v>1592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50000</v>
      </c>
      <c r="Q916">
        <v>0</v>
      </c>
      <c r="R916">
        <v>0</v>
      </c>
      <c r="S916">
        <f t="shared" si="14"/>
        <v>50000</v>
      </c>
      <c r="T916">
        <v>0</v>
      </c>
      <c r="U916">
        <v>0</v>
      </c>
      <c r="V916">
        <v>0</v>
      </c>
      <c r="W916">
        <v>50000</v>
      </c>
    </row>
    <row r="917" spans="1:23" ht="12.75">
      <c r="A917" t="s">
        <v>848</v>
      </c>
      <c r="B917" t="s">
        <v>849</v>
      </c>
      <c r="C917" t="s">
        <v>831</v>
      </c>
      <c r="D917" t="s">
        <v>850</v>
      </c>
      <c r="F917" t="s">
        <v>1592</v>
      </c>
      <c r="G917">
        <v>0</v>
      </c>
      <c r="H917">
        <v>0</v>
      </c>
      <c r="I917">
        <v>1</v>
      </c>
      <c r="J917">
        <v>0</v>
      </c>
      <c r="K917">
        <v>18636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f t="shared" si="14"/>
        <v>0</v>
      </c>
      <c r="T917">
        <v>0</v>
      </c>
      <c r="U917">
        <v>0</v>
      </c>
      <c r="V917">
        <v>0</v>
      </c>
      <c r="W917">
        <v>18636</v>
      </c>
    </row>
    <row r="918" spans="1:23" ht="12.75">
      <c r="A918" t="s">
        <v>851</v>
      </c>
      <c r="B918" t="s">
        <v>852</v>
      </c>
      <c r="C918" t="s">
        <v>831</v>
      </c>
      <c r="D918" t="s">
        <v>853</v>
      </c>
      <c r="F918" t="s">
        <v>1592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f t="shared" si="14"/>
        <v>0</v>
      </c>
      <c r="T918">
        <v>100</v>
      </c>
      <c r="U918">
        <v>0</v>
      </c>
      <c r="V918">
        <v>0</v>
      </c>
      <c r="W918">
        <v>100</v>
      </c>
    </row>
    <row r="919" spans="1:23" ht="12.75">
      <c r="A919" t="s">
        <v>854</v>
      </c>
      <c r="B919" t="s">
        <v>855</v>
      </c>
      <c r="C919" t="s">
        <v>831</v>
      </c>
      <c r="D919" t="s">
        <v>856</v>
      </c>
      <c r="F919" t="s">
        <v>1592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120</v>
      </c>
      <c r="P919">
        <v>0</v>
      </c>
      <c r="Q919">
        <v>0</v>
      </c>
      <c r="R919">
        <v>0</v>
      </c>
      <c r="S919">
        <f t="shared" si="14"/>
        <v>0</v>
      </c>
      <c r="T919">
        <v>0</v>
      </c>
      <c r="U919">
        <v>0</v>
      </c>
      <c r="V919">
        <v>0</v>
      </c>
      <c r="W919">
        <v>120</v>
      </c>
    </row>
    <row r="920" spans="1:23" ht="12.75">
      <c r="A920" t="s">
        <v>857</v>
      </c>
      <c r="B920" t="s">
        <v>858</v>
      </c>
      <c r="C920" t="s">
        <v>831</v>
      </c>
      <c r="D920" t="s">
        <v>859</v>
      </c>
      <c r="F920" t="s">
        <v>1592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10500</v>
      </c>
      <c r="M920">
        <v>0</v>
      </c>
      <c r="N920">
        <v>0</v>
      </c>
      <c r="O920">
        <v>0</v>
      </c>
      <c r="P920">
        <v>1000</v>
      </c>
      <c r="Q920">
        <v>3000</v>
      </c>
      <c r="R920">
        <v>0</v>
      </c>
      <c r="S920">
        <f t="shared" si="14"/>
        <v>4000</v>
      </c>
      <c r="T920">
        <v>0</v>
      </c>
      <c r="U920">
        <v>0</v>
      </c>
      <c r="V920">
        <v>0</v>
      </c>
      <c r="W920">
        <v>14500</v>
      </c>
    </row>
    <row r="921" spans="1:23" ht="12.75">
      <c r="A921" t="s">
        <v>860</v>
      </c>
      <c r="B921" t="s">
        <v>861</v>
      </c>
      <c r="C921" t="s">
        <v>831</v>
      </c>
      <c r="D921" t="s">
        <v>862</v>
      </c>
      <c r="F921" t="s">
        <v>1592</v>
      </c>
      <c r="G921">
        <v>0</v>
      </c>
      <c r="H921">
        <v>1</v>
      </c>
      <c r="I921">
        <v>0</v>
      </c>
      <c r="J921">
        <v>0</v>
      </c>
      <c r="K921">
        <v>5000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f t="shared" si="14"/>
        <v>0</v>
      </c>
      <c r="T921">
        <v>0</v>
      </c>
      <c r="U921">
        <v>0</v>
      </c>
      <c r="V921">
        <v>0</v>
      </c>
      <c r="W921">
        <v>5000</v>
      </c>
    </row>
    <row r="922" spans="1:23" ht="12.75">
      <c r="A922" t="s">
        <v>863</v>
      </c>
      <c r="B922" t="s">
        <v>864</v>
      </c>
      <c r="C922" t="s">
        <v>865</v>
      </c>
      <c r="D922" t="s">
        <v>866</v>
      </c>
      <c r="F922" t="s">
        <v>1592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f t="shared" si="14"/>
        <v>0</v>
      </c>
      <c r="T922">
        <v>0</v>
      </c>
      <c r="U922">
        <v>0</v>
      </c>
      <c r="V922">
        <v>41094</v>
      </c>
      <c r="W922">
        <v>41094</v>
      </c>
    </row>
    <row r="923" spans="1:23" ht="12.75">
      <c r="A923" t="s">
        <v>867</v>
      </c>
      <c r="B923" t="s">
        <v>868</v>
      </c>
      <c r="C923" t="s">
        <v>865</v>
      </c>
      <c r="D923" t="s">
        <v>869</v>
      </c>
      <c r="F923" t="s">
        <v>1592</v>
      </c>
      <c r="G923">
        <v>0</v>
      </c>
      <c r="H923">
        <v>1</v>
      </c>
      <c r="I923">
        <v>0</v>
      </c>
      <c r="J923">
        <v>0</v>
      </c>
      <c r="K923">
        <v>54516</v>
      </c>
      <c r="L923">
        <v>0</v>
      </c>
      <c r="M923">
        <v>14090</v>
      </c>
      <c r="N923">
        <v>0</v>
      </c>
      <c r="O923">
        <v>16401</v>
      </c>
      <c r="P923">
        <v>46540</v>
      </c>
      <c r="Q923">
        <v>0</v>
      </c>
      <c r="R923">
        <v>0</v>
      </c>
      <c r="S923">
        <f t="shared" si="14"/>
        <v>46540</v>
      </c>
      <c r="T923">
        <v>8110</v>
      </c>
      <c r="U923">
        <v>0</v>
      </c>
      <c r="V923">
        <v>3776</v>
      </c>
      <c r="W923">
        <v>143433</v>
      </c>
    </row>
    <row r="924" spans="1:23" ht="12.75">
      <c r="A924" t="s">
        <v>870</v>
      </c>
      <c r="B924" t="s">
        <v>871</v>
      </c>
      <c r="C924" t="s">
        <v>865</v>
      </c>
      <c r="D924" t="s">
        <v>872</v>
      </c>
      <c r="F924" t="s">
        <v>1592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41491</v>
      </c>
      <c r="Q924">
        <v>0</v>
      </c>
      <c r="R924">
        <v>0</v>
      </c>
      <c r="S924">
        <f t="shared" si="14"/>
        <v>41491</v>
      </c>
      <c r="T924">
        <v>0</v>
      </c>
      <c r="U924">
        <v>0</v>
      </c>
      <c r="V924">
        <v>0</v>
      </c>
      <c r="W924">
        <v>41491</v>
      </c>
    </row>
    <row r="925" spans="1:23" ht="12.75">
      <c r="A925" t="s">
        <v>873</v>
      </c>
      <c r="B925" t="s">
        <v>874</v>
      </c>
      <c r="C925" t="s">
        <v>865</v>
      </c>
      <c r="D925" t="s">
        <v>875</v>
      </c>
      <c r="F925" t="s">
        <v>1592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f t="shared" si="14"/>
        <v>0</v>
      </c>
      <c r="T925">
        <v>0</v>
      </c>
      <c r="U925">
        <v>0</v>
      </c>
      <c r="V925">
        <v>47923</v>
      </c>
      <c r="W925">
        <v>47923</v>
      </c>
    </row>
    <row r="926" spans="1:23" ht="12.75">
      <c r="A926" t="s">
        <v>876</v>
      </c>
      <c r="B926" t="s">
        <v>877</v>
      </c>
      <c r="C926" t="s">
        <v>865</v>
      </c>
      <c r="D926" t="s">
        <v>878</v>
      </c>
      <c r="F926" t="s">
        <v>1592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9885</v>
      </c>
      <c r="Q926">
        <v>0</v>
      </c>
      <c r="R926">
        <v>0</v>
      </c>
      <c r="S926">
        <f t="shared" si="14"/>
        <v>9885</v>
      </c>
      <c r="T926">
        <v>0</v>
      </c>
      <c r="U926">
        <v>0</v>
      </c>
      <c r="V926">
        <v>0</v>
      </c>
      <c r="W926">
        <v>9885</v>
      </c>
    </row>
    <row r="927" spans="1:23" ht="12.75">
      <c r="A927" t="s">
        <v>879</v>
      </c>
      <c r="B927" t="s">
        <v>880</v>
      </c>
      <c r="C927" t="s">
        <v>865</v>
      </c>
      <c r="D927" t="s">
        <v>881</v>
      </c>
      <c r="F927" t="s">
        <v>1592</v>
      </c>
      <c r="G927">
        <v>0</v>
      </c>
      <c r="H927">
        <v>1</v>
      </c>
      <c r="I927">
        <v>2.5</v>
      </c>
      <c r="J927">
        <v>0</v>
      </c>
      <c r="K927">
        <v>77628</v>
      </c>
      <c r="L927">
        <v>0</v>
      </c>
      <c r="M927">
        <v>28000</v>
      </c>
      <c r="N927">
        <v>0</v>
      </c>
      <c r="O927">
        <v>22880</v>
      </c>
      <c r="P927">
        <v>77260</v>
      </c>
      <c r="Q927">
        <v>0</v>
      </c>
      <c r="R927">
        <v>0</v>
      </c>
      <c r="S927">
        <f t="shared" si="14"/>
        <v>77260</v>
      </c>
      <c r="T927">
        <v>0</v>
      </c>
      <c r="U927">
        <v>0</v>
      </c>
      <c r="V927">
        <v>0</v>
      </c>
      <c r="W927">
        <v>205768</v>
      </c>
    </row>
    <row r="928" spans="1:23" ht="12.75">
      <c r="A928" t="s">
        <v>882</v>
      </c>
      <c r="B928" t="s">
        <v>883</v>
      </c>
      <c r="C928" t="s">
        <v>831</v>
      </c>
      <c r="D928" t="s">
        <v>884</v>
      </c>
      <c r="F928" t="s">
        <v>1592</v>
      </c>
      <c r="G928">
        <v>0</v>
      </c>
      <c r="H928">
        <v>0</v>
      </c>
      <c r="I928">
        <v>0</v>
      </c>
      <c r="J928">
        <v>0</v>
      </c>
      <c r="K928">
        <v>16452</v>
      </c>
      <c r="L928">
        <v>0</v>
      </c>
      <c r="M928">
        <v>0</v>
      </c>
      <c r="N928">
        <v>0</v>
      </c>
      <c r="O928">
        <v>0</v>
      </c>
      <c r="P928">
        <v>4000</v>
      </c>
      <c r="Q928">
        <v>0</v>
      </c>
      <c r="R928">
        <v>0</v>
      </c>
      <c r="S928">
        <f t="shared" si="14"/>
        <v>4000</v>
      </c>
      <c r="T928">
        <v>0</v>
      </c>
      <c r="U928">
        <v>0</v>
      </c>
      <c r="V928">
        <v>1000</v>
      </c>
      <c r="W928">
        <v>21452</v>
      </c>
    </row>
    <row r="929" spans="1:23" ht="12.75">
      <c r="A929" t="s">
        <v>885</v>
      </c>
      <c r="B929" t="s">
        <v>886</v>
      </c>
      <c r="C929" t="s">
        <v>831</v>
      </c>
      <c r="D929" t="s">
        <v>887</v>
      </c>
      <c r="F929" t="s">
        <v>1592</v>
      </c>
      <c r="G929">
        <v>0</v>
      </c>
      <c r="H929">
        <v>0.364</v>
      </c>
      <c r="I929">
        <v>0</v>
      </c>
      <c r="J929">
        <v>0</v>
      </c>
      <c r="K929">
        <v>34992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f t="shared" si="14"/>
        <v>0</v>
      </c>
      <c r="T929">
        <v>0</v>
      </c>
      <c r="U929">
        <v>0</v>
      </c>
      <c r="V929">
        <v>0</v>
      </c>
      <c r="W929">
        <v>34992</v>
      </c>
    </row>
    <row r="930" spans="1:23" ht="12.75">
      <c r="A930" t="s">
        <v>888</v>
      </c>
      <c r="B930" t="s">
        <v>889</v>
      </c>
      <c r="C930" t="s">
        <v>831</v>
      </c>
      <c r="D930" t="s">
        <v>890</v>
      </c>
      <c r="F930" t="s">
        <v>1592</v>
      </c>
      <c r="G930">
        <v>0</v>
      </c>
      <c r="H930">
        <v>0.5</v>
      </c>
      <c r="I930">
        <v>0</v>
      </c>
      <c r="J930">
        <v>0</v>
      </c>
      <c r="K930">
        <v>45000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f t="shared" si="14"/>
        <v>0</v>
      </c>
      <c r="T930">
        <v>0</v>
      </c>
      <c r="U930">
        <v>0</v>
      </c>
      <c r="V930">
        <v>0</v>
      </c>
      <c r="W930">
        <v>45000</v>
      </c>
    </row>
    <row r="931" spans="1:23" ht="12.75">
      <c r="A931" t="s">
        <v>891</v>
      </c>
      <c r="B931" t="s">
        <v>892</v>
      </c>
      <c r="C931" t="s">
        <v>831</v>
      </c>
      <c r="D931" t="s">
        <v>893</v>
      </c>
      <c r="F931" t="s">
        <v>1592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15200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f t="shared" si="14"/>
        <v>0</v>
      </c>
      <c r="T931">
        <v>0</v>
      </c>
      <c r="U931">
        <v>0</v>
      </c>
      <c r="V931">
        <v>0</v>
      </c>
      <c r="W931">
        <v>15200</v>
      </c>
    </row>
    <row r="932" spans="1:23" ht="12.75">
      <c r="A932" t="s">
        <v>1545</v>
      </c>
      <c r="B932" t="s">
        <v>1546</v>
      </c>
      <c r="C932" t="s">
        <v>1547</v>
      </c>
      <c r="D932" t="s">
        <v>1548</v>
      </c>
      <c r="F932" t="s">
        <v>1592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f t="shared" si="14"/>
        <v>0</v>
      </c>
      <c r="T932">
        <v>0</v>
      </c>
      <c r="U932">
        <v>535000</v>
      </c>
      <c r="V932">
        <v>0</v>
      </c>
      <c r="W932">
        <v>535000</v>
      </c>
    </row>
    <row r="933" spans="1:23" ht="12.75">
      <c r="A933" t="s">
        <v>1411</v>
      </c>
      <c r="B933" t="s">
        <v>1412</v>
      </c>
      <c r="C933" t="s">
        <v>1413</v>
      </c>
      <c r="D933" t="s">
        <v>1414</v>
      </c>
      <c r="F933" t="s">
        <v>1592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500</v>
      </c>
      <c r="N933">
        <v>0</v>
      </c>
      <c r="O933">
        <v>0</v>
      </c>
      <c r="P933">
        <v>5000</v>
      </c>
      <c r="Q933">
        <v>7000</v>
      </c>
      <c r="R933">
        <v>1000</v>
      </c>
      <c r="S933">
        <f t="shared" si="14"/>
        <v>13000</v>
      </c>
      <c r="T933">
        <v>0</v>
      </c>
      <c r="U933">
        <v>0</v>
      </c>
      <c r="V933">
        <v>300</v>
      </c>
      <c r="W933">
        <v>13800</v>
      </c>
    </row>
    <row r="934" spans="1:23" ht="12.75">
      <c r="A934" t="s">
        <v>1415</v>
      </c>
      <c r="B934" t="s">
        <v>1416</v>
      </c>
      <c r="C934" t="s">
        <v>1413</v>
      </c>
      <c r="D934" t="s">
        <v>1417</v>
      </c>
      <c r="F934" t="s">
        <v>1592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4000</v>
      </c>
      <c r="N934">
        <v>0</v>
      </c>
      <c r="O934">
        <v>0</v>
      </c>
      <c r="P934">
        <v>35500</v>
      </c>
      <c r="Q934">
        <v>16000</v>
      </c>
      <c r="R934">
        <v>1500</v>
      </c>
      <c r="S934">
        <f t="shared" si="14"/>
        <v>53000</v>
      </c>
      <c r="T934">
        <v>150</v>
      </c>
      <c r="U934">
        <v>5000</v>
      </c>
      <c r="V934">
        <v>60000</v>
      </c>
      <c r="W934">
        <v>122150</v>
      </c>
    </row>
    <row r="935" spans="1:23" ht="12.75">
      <c r="A935" t="s">
        <v>1418</v>
      </c>
      <c r="B935" t="s">
        <v>1419</v>
      </c>
      <c r="C935" t="s">
        <v>1413</v>
      </c>
      <c r="D935" t="s">
        <v>1420</v>
      </c>
      <c r="F935" t="s">
        <v>1592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900</v>
      </c>
      <c r="N935">
        <v>0</v>
      </c>
      <c r="O935">
        <v>0</v>
      </c>
      <c r="P935">
        <v>1400</v>
      </c>
      <c r="Q935">
        <v>0</v>
      </c>
      <c r="R935">
        <v>350</v>
      </c>
      <c r="S935">
        <f t="shared" si="14"/>
        <v>1750</v>
      </c>
      <c r="T935">
        <v>0</v>
      </c>
      <c r="U935">
        <v>0</v>
      </c>
      <c r="V935">
        <v>0</v>
      </c>
      <c r="W935">
        <v>2650</v>
      </c>
    </row>
    <row r="936" spans="1:23" ht="12.75">
      <c r="A936" t="s">
        <v>1421</v>
      </c>
      <c r="B936" t="s">
        <v>1422</v>
      </c>
      <c r="C936" t="s">
        <v>1413</v>
      </c>
      <c r="D936" t="s">
        <v>1423</v>
      </c>
      <c r="F936" t="s">
        <v>1592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2000</v>
      </c>
      <c r="N936">
        <v>3645</v>
      </c>
      <c r="O936">
        <v>0</v>
      </c>
      <c r="P936">
        <v>700</v>
      </c>
      <c r="Q936">
        <v>0</v>
      </c>
      <c r="R936">
        <v>0</v>
      </c>
      <c r="S936">
        <f t="shared" si="14"/>
        <v>700</v>
      </c>
      <c r="T936">
        <v>2500</v>
      </c>
      <c r="U936">
        <v>0</v>
      </c>
      <c r="V936">
        <v>0</v>
      </c>
      <c r="W936">
        <v>8845</v>
      </c>
    </row>
    <row r="937" spans="1:23" ht="12.75">
      <c r="A937" t="s">
        <v>894</v>
      </c>
      <c r="B937" t="s">
        <v>895</v>
      </c>
      <c r="C937" t="s">
        <v>896</v>
      </c>
      <c r="D937" t="s">
        <v>897</v>
      </c>
      <c r="F937" t="s">
        <v>1592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f t="shared" si="14"/>
        <v>0</v>
      </c>
      <c r="T937">
        <v>600</v>
      </c>
      <c r="U937">
        <v>0</v>
      </c>
      <c r="V937">
        <v>0</v>
      </c>
      <c r="W937">
        <v>600</v>
      </c>
    </row>
  </sheetData>
  <sheetProtection/>
  <printOptions/>
  <pageMargins left="0.24" right="0.22" top="1" bottom="1" header="0.5" footer="0.5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 L. Ellis</dc:creator>
  <cp:keywords/>
  <dc:description/>
  <cp:lastModifiedBy>Office of Academic Affairs</cp:lastModifiedBy>
  <cp:lastPrinted>1999-06-10T20:15:59Z</cp:lastPrinted>
  <dcterms:created xsi:type="dcterms:W3CDTF">1999-06-01T18:07:08Z</dcterms:created>
  <dcterms:modified xsi:type="dcterms:W3CDTF">2009-02-26T18:28:30Z</dcterms:modified>
  <cp:category/>
  <cp:version/>
  <cp:contentType/>
  <cp:contentStatus/>
</cp:coreProperties>
</file>