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595" windowWidth="11235" windowHeight="6435" activeTab="0"/>
  </bookViews>
  <sheets>
    <sheet name="Calculations" sheetId="1" r:id="rId1"/>
  </sheets>
  <definedNames>
    <definedName name="dV_dD">'Calculations'!$C$44</definedName>
    <definedName name="dV_dL">'Calculations'!$C$46</definedName>
    <definedName name="dVdDnum">'Calculations'!$J$46</definedName>
    <definedName name="dVdLnum">'Calculations'!$J$47</definedName>
    <definedName name="mean_D">'Calculations'!$C$29</definedName>
    <definedName name="mean_L">'Calculations'!$G$29</definedName>
    <definedName name="measd_L">'Calculations'!$G$22:$G$26</definedName>
    <definedName name="n_D">'Calculations'!$C$32</definedName>
    <definedName name="n_L">'Calculations'!$G$32</definedName>
    <definedName name="smu_D">'Calculations'!$G$10</definedName>
    <definedName name="smu_L">'Calculations'!$I$11</definedName>
    <definedName name="stdev_D">'Calculations'!$C$30</definedName>
    <definedName name="stdev_L">'Calculations'!$G$30</definedName>
    <definedName name="t95pct">'Calculations'!$G$33</definedName>
    <definedName name="tau95">'Calculations'!$G$34</definedName>
    <definedName name="Uncert_D">'Calculations'!$C$41</definedName>
    <definedName name="Uncert_L">'Calculations'!$C$42</definedName>
    <definedName name="Uncert_V">'Calculations'!$C$48</definedName>
    <definedName name="var_D">'Calculations'!$C$31</definedName>
    <definedName name="Vol">'Calculations'!$C$49</definedName>
  </definedNames>
  <calcPr fullCalcOnLoad="1"/>
</workbook>
</file>

<file path=xl/sharedStrings.xml><?xml version="1.0" encoding="utf-8"?>
<sst xmlns="http://schemas.openxmlformats.org/spreadsheetml/2006/main" count="120" uniqueCount="94">
  <si>
    <t>The measured values are given below.</t>
  </si>
  <si>
    <t>(D)meas</t>
  </si>
  <si>
    <t>(L)meas</t>
  </si>
  <si>
    <t>(mm)</t>
  </si>
  <si>
    <t>smu_D</t>
  </si>
  <si>
    <t>mm</t>
  </si>
  <si>
    <t>smu_L</t>
  </si>
  <si>
    <t>cm  equals</t>
  </si>
  <si>
    <t>Solution:</t>
  </si>
  <si>
    <t>Vol = MeanVol +/- (s)vol</t>
  </si>
  <si>
    <t>mean_D</t>
  </si>
  <si>
    <t>mean_L</t>
  </si>
  <si>
    <t>stdev_D</t>
  </si>
  <si>
    <t>stdev_L</t>
  </si>
  <si>
    <t>dV_dD</t>
  </si>
  <si>
    <t>dV_dL</t>
  </si>
  <si>
    <t>V</t>
  </si>
  <si>
    <t>Vol</t>
  </si>
  <si>
    <t>+/-</t>
  </si>
  <si>
    <t>PROPAGATION OF ERROR ANALYSIS EXAMPLE</t>
  </si>
  <si>
    <t>dVdD =</t>
  </si>
  <si>
    <t>dVdL=</t>
  </si>
  <si>
    <t>(mm^3)</t>
  </si>
  <si>
    <t>Vol =</t>
  </si>
  <si>
    <t>(m^3)</t>
  </si>
  <si>
    <t xml:space="preserve">The smallest measuring units associated with the </t>
  </si>
  <si>
    <t>measured diameter and length are:</t>
  </si>
  <si>
    <t>INSERT:NAME:DEFINE</t>
  </si>
  <si>
    <t>These values are calculated using referenced cells.</t>
  </si>
  <si>
    <t>cells.</t>
  </si>
  <si>
    <t>place an apostrophe before the formula, and hit</t>
  </si>
  <si>
    <t>return.  Voila - you can easily see the formula now.</t>
  </si>
  <si>
    <t>Be sure to check that the referenced cells are listed</t>
  </si>
  <si>
    <t>correctly.</t>
  </si>
  <si>
    <t>∂V / ∂D</t>
  </si>
  <si>
    <t>∂V / ∂L</t>
  </si>
  <si>
    <t>These values have been</t>
  </si>
  <si>
    <t>named "measd_L" using</t>
  </si>
  <si>
    <t>(mm)  =AVERAGE(C22:C26)</t>
  </si>
  <si>
    <t>(mm)  =STDEV(C22:C26)</t>
  </si>
  <si>
    <t>Numerical Differentiation Using a Function Module</t>
  </si>
  <si>
    <t>Analytical Differentiation</t>
  </si>
  <si>
    <r>
      <t>NOTE:</t>
    </r>
    <r>
      <rPr>
        <sz val="8"/>
        <rFont val="Times New Roman"/>
        <family val="1"/>
      </rPr>
      <t xml:space="preserve">  To show the formula of a particular cell,</t>
    </r>
  </si>
  <si>
    <r>
      <t xml:space="preserve">These values are calculated using the referenced </t>
    </r>
    <r>
      <rPr>
        <i/>
        <sz val="8"/>
        <rFont val="Times New Roman"/>
        <family val="1"/>
      </rPr>
      <t>named</t>
    </r>
  </si>
  <si>
    <t>var_D</t>
  </si>
  <si>
    <r>
      <t>n</t>
    </r>
    <r>
      <rPr>
        <b/>
        <sz val="8"/>
        <rFont val="Times New Roman"/>
        <family val="1"/>
      </rPr>
      <t>_D</t>
    </r>
  </si>
  <si>
    <t>=COUNT(C22:C26) - 1</t>
  </si>
  <si>
    <r>
      <t>(mm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) =C30_D^2</t>
    </r>
  </si>
  <si>
    <r>
      <t>t</t>
    </r>
    <r>
      <rPr>
        <b/>
        <vertAlign val="subscript"/>
        <sz val="8"/>
        <rFont val="Times New Roman"/>
        <family val="1"/>
      </rPr>
      <t>95%</t>
    </r>
  </si>
  <si>
    <t>Table value</t>
  </si>
  <si>
    <r>
      <t>n</t>
    </r>
    <r>
      <rPr>
        <b/>
        <sz val="8"/>
        <rFont val="Times New Roman"/>
        <family val="1"/>
      </rPr>
      <t>_L</t>
    </r>
  </si>
  <si>
    <t>=COUNT(measd_L) - 1</t>
  </si>
  <si>
    <t>File: Prop_of_Errors_Cylinder.xls</t>
  </si>
  <si>
    <r>
      <t>t</t>
    </r>
    <r>
      <rPr>
        <b/>
        <vertAlign val="subscript"/>
        <sz val="8"/>
        <rFont val="Times New Roman"/>
        <family val="1"/>
      </rPr>
      <t>95</t>
    </r>
    <r>
      <rPr>
        <b/>
        <sz val="8"/>
        <rFont val="Times New Roman"/>
        <family val="1"/>
      </rPr>
      <t>stdev_D/sqrt(n_D) =</t>
    </r>
  </si>
  <si>
    <r>
      <t>t</t>
    </r>
    <r>
      <rPr>
        <b/>
        <vertAlign val="subscript"/>
        <sz val="8"/>
        <rFont val="Times New Roman"/>
        <family val="1"/>
      </rPr>
      <t>95</t>
    </r>
    <r>
      <rPr>
        <b/>
        <sz val="8"/>
        <rFont val="Times New Roman"/>
        <family val="1"/>
      </rPr>
      <t>smu_D/sqrt(12) =</t>
    </r>
  </si>
  <si>
    <t>Uncert_D</t>
  </si>
  <si>
    <t>Uncert_L</t>
  </si>
  <si>
    <r>
      <t>U</t>
    </r>
    <r>
      <rPr>
        <vertAlign val="subscript"/>
        <sz val="10"/>
        <rFont val="Times New Roman"/>
        <family val="1"/>
      </rPr>
      <t>D</t>
    </r>
  </si>
  <si>
    <r>
      <t>U</t>
    </r>
    <r>
      <rPr>
        <vertAlign val="subscript"/>
        <sz val="10"/>
        <rFont val="Times New Roman"/>
        <family val="1"/>
      </rPr>
      <t>L</t>
    </r>
  </si>
  <si>
    <r>
      <t>U</t>
    </r>
    <r>
      <rPr>
        <vertAlign val="subscript"/>
        <sz val="10"/>
        <rFont val="Times New Roman"/>
        <family val="1"/>
      </rPr>
      <t>V</t>
    </r>
  </si>
  <si>
    <t>Uncert_V</t>
  </si>
  <si>
    <t>(mm)=MAX(t95pct*stdev_D/SQRT(n_D),smu_D/SQRT(12))</t>
  </si>
  <si>
    <t>Scenario:  You are asked to determine the volume, V,  of a cylinder using measurements of the cylinder's diameter, D, and length, L.  The answer is to be reported as a mean value and the associated uncertainty. U.</t>
  </si>
  <si>
    <r>
      <t>V</t>
    </r>
    <r>
      <rPr>
        <vertAlign val="subscript"/>
        <sz val="8"/>
        <rFont val="Times New Roman"/>
        <family val="1"/>
      </rPr>
      <t>anal</t>
    </r>
    <r>
      <rPr>
        <sz val="8"/>
        <rFont val="Times New Roman"/>
        <family val="1"/>
      </rPr>
      <t xml:space="preserve"> =</t>
    </r>
  </si>
  <si>
    <r>
      <t>V</t>
    </r>
    <r>
      <rPr>
        <vertAlign val="subscript"/>
        <sz val="8"/>
        <rFont val="Times New Roman"/>
        <family val="1"/>
      </rPr>
      <t>num</t>
    </r>
    <r>
      <rPr>
        <sz val="8"/>
        <rFont val="Times New Roman"/>
        <family val="1"/>
      </rPr>
      <t xml:space="preserve"> =</t>
    </r>
  </si>
  <si>
    <t>Non Dimensional Analysis</t>
  </si>
  <si>
    <t>Uncertainty Magnification Factors</t>
  </si>
  <si>
    <r>
      <t>UMF</t>
    </r>
    <r>
      <rPr>
        <vertAlign val="subscript"/>
        <sz val="8"/>
        <rFont val="Times New Roman"/>
        <family val="1"/>
      </rPr>
      <t>D</t>
    </r>
    <r>
      <rPr>
        <sz val="8"/>
        <rFont val="Times New Roman"/>
        <family val="1"/>
      </rPr>
      <t xml:space="preserve"> =</t>
    </r>
  </si>
  <si>
    <r>
      <t>UMF</t>
    </r>
    <r>
      <rPr>
        <vertAlign val="subscript"/>
        <sz val="8"/>
        <rFont val="Times New Roman"/>
        <family val="1"/>
      </rPr>
      <t>L</t>
    </r>
    <r>
      <rPr>
        <sz val="8"/>
        <rFont val="Times New Roman"/>
        <family val="1"/>
      </rPr>
      <t xml:space="preserve"> =</t>
    </r>
  </si>
  <si>
    <t>Uncertainty Percentage Contribution</t>
  </si>
  <si>
    <r>
      <t>UPC</t>
    </r>
    <r>
      <rPr>
        <vertAlign val="subscript"/>
        <sz val="8"/>
        <rFont val="Times New Roman"/>
        <family val="1"/>
      </rPr>
      <t>D</t>
    </r>
    <r>
      <rPr>
        <sz val="8"/>
        <rFont val="Times New Roman"/>
        <family val="1"/>
      </rPr>
      <t xml:space="preserve"> =</t>
    </r>
  </si>
  <si>
    <r>
      <t>UPC</t>
    </r>
    <r>
      <rPr>
        <vertAlign val="subscript"/>
        <sz val="8"/>
        <rFont val="Times New Roman"/>
        <family val="1"/>
      </rPr>
      <t>L</t>
    </r>
    <r>
      <rPr>
        <sz val="8"/>
        <rFont val="Times New Roman"/>
        <family val="1"/>
      </rPr>
      <t xml:space="preserve"> =</t>
    </r>
  </si>
  <si>
    <t xml:space="preserve">  =dV_dD^2*Uncert_D^2/Uncert_V^2*100</t>
  </si>
  <si>
    <t xml:space="preserve">  =dV_dL^2*Uncert_L^2/Uncert_V^2</t>
  </si>
  <si>
    <t xml:space="preserve">  =dV_dD*mean_D/Vol</t>
  </si>
  <si>
    <t xml:space="preserve">  =dV_dL*mean_L/Vol</t>
  </si>
  <si>
    <t>Notice the final answers are given to only 3 significant digits.</t>
  </si>
  <si>
    <t>Uncert_V =</t>
  </si>
  <si>
    <t>(cm)</t>
  </si>
  <si>
    <t>(cm)  =AVERAGE(measd_L)</t>
  </si>
  <si>
    <t>(cm)  =STDEV(measd_L)</t>
  </si>
  <si>
    <r>
      <t>(cm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) =stdev_L^2</t>
    </r>
  </si>
  <si>
    <r>
      <t>t</t>
    </r>
    <r>
      <rPr>
        <b/>
        <vertAlign val="subscript"/>
        <sz val="8"/>
        <rFont val="Times New Roman"/>
        <family val="1"/>
      </rPr>
      <t>95</t>
    </r>
    <r>
      <rPr>
        <b/>
        <sz val="8"/>
        <rFont val="Times New Roman"/>
        <family val="1"/>
      </rPr>
      <t>stdev_L/sqrt(n_L)</t>
    </r>
  </si>
  <si>
    <r>
      <t>t</t>
    </r>
    <r>
      <rPr>
        <b/>
        <vertAlign val="subscript"/>
        <sz val="8"/>
        <rFont val="Times New Roman"/>
        <family val="1"/>
      </rPr>
      <t>95</t>
    </r>
    <r>
      <rPr>
        <b/>
        <sz val="8"/>
        <rFont val="Times New Roman"/>
        <family val="1"/>
      </rPr>
      <t>smu_L/sqrt(12)</t>
    </r>
  </si>
  <si>
    <t>(cm)=MAX(t95pct*stdev_L/SQRT(n_L),t95pct*smu_L/SQRT(12))</t>
  </si>
  <si>
    <t>=ROUND(V(mean_D,(mean_L*10)+Uncert_L*10)- V(mean_D,mean_L*10),-3)</t>
  </si>
  <si>
    <t>=ROUND(V(mean_D+Uncert_D,mean_L*10) - V(mean_D,mean_L*10),-3)</t>
  </si>
  <si>
    <t>=ROUND(SQRT(dVdDnum^2+dVdLnum^2),-3)</t>
  </si>
  <si>
    <t>=ROUND(V(mean_D,mean_L*10),-4)</t>
  </si>
  <si>
    <t>(mm^3)  = ROUND((1/4)*PI()*mean_L*10*(mean_D)^2,-4)</t>
  </si>
  <si>
    <t>(mm^3)  = ROUND(SQRT((Uncert_D*dV_dD)^2+(Uncert_L*10*dV_DL)^2),-3)</t>
  </si>
  <si>
    <t>(mm^2)  = ROUND((1/4)*PI()*(mean_D)^2,-2)</t>
  </si>
  <si>
    <t>(mm^2)  = ROUND((1/4)*PI()*2*mean_D*mean_L*10,-2)</t>
  </si>
  <si>
    <r>
      <t>Notice the diameter measurement contributes ~60% of the uncertainty.   This might be expected, since the UMF</t>
    </r>
    <r>
      <rPr>
        <vertAlign val="subscript"/>
        <sz val="8"/>
        <rFont val="Times New Roman"/>
        <family val="1"/>
      </rPr>
      <t>D</t>
    </r>
    <r>
      <rPr>
        <sz val="8"/>
        <rFont val="Times New Roman"/>
        <family val="1"/>
      </rPr>
      <t xml:space="preserve"> is greater than 1, indicating the uncertainty of the diameter will be magnified as it propagates through the data equation.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</si>
</sst>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0.0000000"/>
    <numFmt numFmtId="169" formatCode="0.000000"/>
    <numFmt numFmtId="170" formatCode="0.00000000"/>
    <numFmt numFmtId="171" formatCode="0.0E+00"/>
    <numFmt numFmtId="172" formatCode="0.E+00"/>
    <numFmt numFmtId="173" formatCode="0.0%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48"/>
      <name val="Arial"/>
      <family val="2"/>
    </font>
    <font>
      <sz val="8"/>
      <name val="Times New Roman"/>
      <family val="1"/>
    </font>
    <font>
      <b/>
      <sz val="20"/>
      <color indexed="4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vertAlign val="superscript"/>
      <sz val="8"/>
      <name val="Times New Roman"/>
      <family val="1"/>
    </font>
    <font>
      <b/>
      <sz val="8"/>
      <name val="Symbol"/>
      <family val="1"/>
    </font>
    <font>
      <b/>
      <vertAlign val="subscript"/>
      <sz val="8"/>
      <name val="Times New Roman"/>
      <family val="1"/>
    </font>
    <font>
      <vertAlign val="subscript"/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7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 quotePrefix="1">
      <alignment/>
    </xf>
    <xf numFmtId="0" fontId="7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7" fillId="0" borderId="8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 quotePrefix="1">
      <alignment/>
    </xf>
    <xf numFmtId="0" fontId="5" fillId="0" borderId="9" xfId="0" applyFont="1" applyBorder="1" applyAlignment="1">
      <alignment/>
    </xf>
    <xf numFmtId="0" fontId="5" fillId="2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 quotePrefix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 applyAlignment="1" quotePrefix="1">
      <alignment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/>
    </xf>
    <xf numFmtId="0" fontId="5" fillId="0" borderId="0" xfId="0" applyFont="1" applyAlignment="1" quotePrefix="1">
      <alignment/>
    </xf>
    <xf numFmtId="0" fontId="7" fillId="0" borderId="0" xfId="0" applyFont="1" applyAlignment="1">
      <alignment horizontal="left"/>
    </xf>
    <xf numFmtId="2" fontId="5" fillId="0" borderId="0" xfId="0" applyNumberFormat="1" applyFont="1" applyAlignment="1">
      <alignment horizontal="center"/>
    </xf>
    <xf numFmtId="0" fontId="5" fillId="0" borderId="7" xfId="0" applyFont="1" applyBorder="1" applyAlignment="1">
      <alignment/>
    </xf>
    <xf numFmtId="0" fontId="7" fillId="0" borderId="7" xfId="0" applyFont="1" applyBorder="1" applyAlignment="1">
      <alignment/>
    </xf>
    <xf numFmtId="164" fontId="5" fillId="0" borderId="0" xfId="0" applyNumberFormat="1" applyFont="1" applyAlignment="1">
      <alignment horizontal="center"/>
    </xf>
    <xf numFmtId="164" fontId="5" fillId="3" borderId="0" xfId="0" applyNumberFormat="1" applyFont="1" applyFill="1" applyAlignment="1">
      <alignment horizontal="center"/>
    </xf>
    <xf numFmtId="164" fontId="5" fillId="0" borderId="0" xfId="0" applyNumberFormat="1" applyFont="1" applyAlignment="1" quotePrefix="1">
      <alignment horizontal="left"/>
    </xf>
    <xf numFmtId="0" fontId="5" fillId="3" borderId="1" xfId="0" applyFont="1" applyFill="1" applyBorder="1" applyAlignment="1">
      <alignment horizontal="right"/>
    </xf>
    <xf numFmtId="164" fontId="5" fillId="3" borderId="2" xfId="0" applyNumberFormat="1" applyFont="1" applyFill="1" applyBorder="1" applyAlignment="1">
      <alignment horizontal="right"/>
    </xf>
    <xf numFmtId="0" fontId="5" fillId="3" borderId="2" xfId="0" applyFont="1" applyFill="1" applyBorder="1" applyAlignment="1" quotePrefix="1">
      <alignment horizontal="center"/>
    </xf>
    <xf numFmtId="0" fontId="5" fillId="3" borderId="3" xfId="0" applyFont="1" applyFill="1" applyBorder="1" applyAlignment="1">
      <alignment/>
    </xf>
    <xf numFmtId="0" fontId="5" fillId="3" borderId="2" xfId="0" applyFont="1" applyFill="1" applyBorder="1" applyAlignment="1">
      <alignment horizontal="right"/>
    </xf>
    <xf numFmtId="0" fontId="5" fillId="3" borderId="4" xfId="0" applyFont="1" applyFill="1" applyBorder="1" applyAlignment="1">
      <alignment/>
    </xf>
    <xf numFmtId="11" fontId="5" fillId="3" borderId="5" xfId="0" applyNumberFormat="1" applyFont="1" applyFill="1" applyBorder="1" applyAlignment="1">
      <alignment horizontal="right"/>
    </xf>
    <xf numFmtId="0" fontId="5" fillId="3" borderId="5" xfId="0" applyFont="1" applyFill="1" applyBorder="1" applyAlignment="1" quotePrefix="1">
      <alignment horizontal="center"/>
    </xf>
    <xf numFmtId="172" fontId="5" fillId="3" borderId="5" xfId="0" applyNumberFormat="1" applyFont="1" applyFill="1" applyBorder="1" applyAlignment="1">
      <alignment horizontal="right"/>
    </xf>
    <xf numFmtId="0" fontId="5" fillId="3" borderId="6" xfId="0" applyFont="1" applyFill="1" applyBorder="1" applyAlignment="1">
      <alignment/>
    </xf>
    <xf numFmtId="11" fontId="5" fillId="0" borderId="0" xfId="0" applyNumberFormat="1" applyFont="1" applyAlignment="1">
      <alignment/>
    </xf>
    <xf numFmtId="0" fontId="10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2" fontId="5" fillId="0" borderId="0" xfId="0" applyNumberFormat="1" applyFont="1" applyBorder="1" applyAlignment="1" quotePrefix="1">
      <alignment horizontal="center"/>
    </xf>
    <xf numFmtId="2" fontId="5" fillId="0" borderId="0" xfId="0" applyNumberFormat="1" applyFont="1" applyBorder="1" applyAlignment="1">
      <alignment horizontal="left"/>
    </xf>
    <xf numFmtId="0" fontId="13" fillId="0" borderId="8" xfId="0" applyFont="1" applyBorder="1" applyAlignment="1">
      <alignment horizontal="right"/>
    </xf>
    <xf numFmtId="2" fontId="5" fillId="0" borderId="0" xfId="0" applyNumberFormat="1" applyFont="1" applyAlignment="1" quotePrefix="1">
      <alignment horizontal="center"/>
    </xf>
    <xf numFmtId="2" fontId="5" fillId="0" borderId="0" xfId="0" applyNumberFormat="1" applyFont="1" applyAlignment="1" quotePrefix="1">
      <alignment horizontal="left"/>
    </xf>
    <xf numFmtId="2" fontId="5" fillId="0" borderId="0" xfId="0" applyNumberFormat="1" applyFont="1" applyAlignment="1" quotePrefix="1">
      <alignment/>
    </xf>
    <xf numFmtId="173" fontId="5" fillId="0" borderId="0" xfId="19" applyNumberFormat="1" applyFont="1" applyAlignment="1" quotePrefix="1">
      <alignment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7" fillId="4" borderId="10" xfId="0" applyFont="1" applyFill="1" applyBorder="1" applyAlignment="1">
      <alignment horizontal="left" vertical="top" wrapText="1"/>
    </xf>
    <xf numFmtId="0" fontId="7" fillId="4" borderId="11" xfId="0" applyFont="1" applyFill="1" applyBorder="1" applyAlignment="1">
      <alignment horizontal="left" vertical="top" wrapText="1"/>
    </xf>
    <xf numFmtId="0" fontId="7" fillId="4" borderId="12" xfId="0" applyFont="1" applyFill="1" applyBorder="1" applyAlignment="1">
      <alignment horizontal="left" vertical="top" wrapText="1"/>
    </xf>
    <xf numFmtId="0" fontId="7" fillId="0" borderId="7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164" fontId="5" fillId="0" borderId="0" xfId="0" applyNumberFormat="1" applyFont="1" applyAlignment="1" quotePrefix="1">
      <alignment horizontal="center"/>
    </xf>
    <xf numFmtId="164" fontId="5" fillId="3" borderId="0" xfId="0" applyNumberFormat="1" applyFont="1" applyFill="1" applyAlignment="1" quotePrefix="1">
      <alignment horizontal="center"/>
    </xf>
    <xf numFmtId="0" fontId="5" fillId="3" borderId="0" xfId="0" applyFont="1" applyFill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85725</xdr:colOff>
      <xdr:row>4</xdr:row>
      <xdr:rowOff>85725</xdr:rowOff>
    </xdr:from>
    <xdr:ext cx="1962150" cy="1762125"/>
    <xdr:grpSp>
      <xdr:nvGrpSpPr>
        <xdr:cNvPr id="1" name="Group 40"/>
        <xdr:cNvGrpSpPr>
          <a:grpSpLocks/>
        </xdr:cNvGrpSpPr>
      </xdr:nvGrpSpPr>
      <xdr:grpSpPr>
        <a:xfrm>
          <a:off x="6981825" y="1047750"/>
          <a:ext cx="1962150" cy="1762125"/>
          <a:chOff x="850" y="85"/>
          <a:chExt cx="264" cy="213"/>
        </a:xfrm>
        <a:solidFill>
          <a:srgbClr val="FFFFFF"/>
        </a:solidFill>
      </xdr:grpSpPr>
      <xdr:sp>
        <xdr:nvSpPr>
          <xdr:cNvPr id="2" name="Text 14"/>
          <xdr:cNvSpPr txBox="1">
            <a:spLocks noChangeArrowheads="1"/>
          </xdr:cNvSpPr>
        </xdr:nvSpPr>
        <xdr:spPr>
          <a:xfrm>
            <a:off x="850" y="109"/>
            <a:ext cx="0" cy="2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Diameter, D</a:t>
            </a:r>
          </a:p>
        </xdr:txBody>
      </xdr:sp>
      <xdr:sp>
        <xdr:nvSpPr>
          <xdr:cNvPr id="3" name="Text 17"/>
          <xdr:cNvSpPr txBox="1">
            <a:spLocks noChangeArrowheads="1"/>
          </xdr:cNvSpPr>
        </xdr:nvSpPr>
        <xdr:spPr>
          <a:xfrm>
            <a:off x="995" y="85"/>
            <a:ext cx="114" cy="2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Diameter, D</a:t>
            </a:r>
          </a:p>
        </xdr:txBody>
      </xdr:sp>
      <xdr:sp>
        <xdr:nvSpPr>
          <xdr:cNvPr id="4" name="Text 18"/>
          <xdr:cNvSpPr txBox="1">
            <a:spLocks noChangeArrowheads="1"/>
          </xdr:cNvSpPr>
        </xdr:nvSpPr>
        <xdr:spPr>
          <a:xfrm>
            <a:off x="1009" y="194"/>
            <a:ext cx="105" cy="26"/>
          </a:xfrm>
          <a:prstGeom prst="rect">
            <a:avLst/>
          </a:prstGeom>
          <a:solidFill>
            <a:srgbClr val="FFFFFF"/>
          </a:solidFill>
          <a:ln w="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Length, L</a:t>
            </a:r>
          </a:p>
        </xdr:txBody>
      </xdr:sp>
      <xdr:sp>
        <xdr:nvSpPr>
          <xdr:cNvPr id="5" name="Line 24"/>
          <xdr:cNvSpPr>
            <a:spLocks/>
          </xdr:cNvSpPr>
        </xdr:nvSpPr>
        <xdr:spPr>
          <a:xfrm>
            <a:off x="990" y="139"/>
            <a:ext cx="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28"/>
          <xdr:cNvSpPr>
            <a:spLocks/>
          </xdr:cNvSpPr>
        </xdr:nvSpPr>
        <xdr:spPr>
          <a:xfrm>
            <a:off x="991" y="281"/>
            <a:ext cx="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29"/>
          <xdr:cNvSpPr>
            <a:spLocks/>
          </xdr:cNvSpPr>
        </xdr:nvSpPr>
        <xdr:spPr>
          <a:xfrm>
            <a:off x="1004" y="140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31"/>
          <xdr:cNvSpPr>
            <a:spLocks/>
          </xdr:cNvSpPr>
        </xdr:nvSpPr>
        <xdr:spPr>
          <a:xfrm flipH="1">
            <a:off x="959" y="110"/>
            <a:ext cx="32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32"/>
          <xdr:cNvSpPr>
            <a:spLocks/>
          </xdr:cNvSpPr>
        </xdr:nvSpPr>
        <xdr:spPr>
          <a:xfrm>
            <a:off x="894" y="116"/>
            <a:ext cx="70" cy="182"/>
          </a:xfrm>
          <a:prstGeom prst="can">
            <a:avLst/>
          </a:prstGeom>
          <a:gradFill rotWithShape="1">
            <a:gsLst>
              <a:gs pos="0">
                <a:srgbClr val="757500"/>
              </a:gs>
              <a:gs pos="100000">
                <a:srgbClr val="FFFF0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30"/>
          <xdr:cNvSpPr>
            <a:spLocks/>
          </xdr:cNvSpPr>
        </xdr:nvSpPr>
        <xdr:spPr>
          <a:xfrm flipV="1">
            <a:off x="872" y="153"/>
            <a:ext cx="32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7"/>
  <sheetViews>
    <sheetView tabSelected="1" zoomScale="90" zoomScaleNormal="90" workbookViewId="0" topLeftCell="A1">
      <selection activeCell="A1" sqref="A1:O1"/>
    </sheetView>
  </sheetViews>
  <sheetFormatPr defaultColWidth="9.140625" defaultRowHeight="12.75"/>
  <cols>
    <col min="1" max="1" width="7.57421875" style="1" customWidth="1"/>
    <col min="2" max="2" width="9.140625" style="1" customWidth="1"/>
    <col min="3" max="3" width="10.140625" style="1" customWidth="1"/>
    <col min="4" max="4" width="9.140625" style="1" customWidth="1"/>
    <col min="5" max="5" width="13.28125" style="1" customWidth="1"/>
    <col min="6" max="6" width="12.00390625" style="1" customWidth="1"/>
    <col min="7" max="7" width="9.140625" style="1" customWidth="1"/>
    <col min="8" max="8" width="11.8515625" style="1" customWidth="1"/>
    <col min="9" max="9" width="12.00390625" style="1" customWidth="1"/>
    <col min="10" max="14" width="9.140625" style="1" customWidth="1"/>
    <col min="15" max="15" width="10.28125" style="1" customWidth="1"/>
    <col min="16" max="16384" width="9.140625" style="1" customWidth="1"/>
  </cols>
  <sheetData>
    <row r="1" spans="1:15" ht="25.5">
      <c r="A1" s="82" t="s">
        <v>19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6" s="3" customFormat="1" ht="11.25" customHeight="1">
      <c r="A2" s="2" t="s">
        <v>52</v>
      </c>
      <c r="F2" s="4"/>
    </row>
    <row r="4" spans="2:10" ht="26.25" customHeight="1">
      <c r="B4" s="83" t="s">
        <v>62</v>
      </c>
      <c r="C4" s="84"/>
      <c r="D4" s="84"/>
      <c r="E4" s="84"/>
      <c r="F4" s="84"/>
      <c r="G4" s="84"/>
      <c r="H4" s="84"/>
      <c r="I4" s="84"/>
      <c r="J4" s="85"/>
    </row>
    <row r="5" spans="2:10" ht="12.75">
      <c r="B5"/>
      <c r="C5"/>
      <c r="D5"/>
      <c r="E5"/>
      <c r="F5"/>
      <c r="G5"/>
      <c r="H5"/>
      <c r="I5"/>
      <c r="J5"/>
    </row>
    <row r="6" spans="2:10" ht="12.75">
      <c r="B6"/>
      <c r="C6"/>
      <c r="D6"/>
      <c r="E6"/>
      <c r="F6"/>
      <c r="G6"/>
      <c r="H6"/>
      <c r="I6"/>
      <c r="J6"/>
    </row>
    <row r="7" ht="11.25"/>
    <row r="8" spans="3:10" ht="12">
      <c r="C8" s="5" t="s">
        <v>0</v>
      </c>
      <c r="F8" s="6" t="s">
        <v>25</v>
      </c>
      <c r="G8" s="7"/>
      <c r="H8" s="7"/>
      <c r="I8" s="7"/>
      <c r="J8" s="8"/>
    </row>
    <row r="9" spans="3:10" ht="12">
      <c r="C9" s="9" t="s">
        <v>1</v>
      </c>
      <c r="D9" s="9" t="s">
        <v>2</v>
      </c>
      <c r="F9" s="10" t="s">
        <v>26</v>
      </c>
      <c r="G9" s="11"/>
      <c r="H9" s="11"/>
      <c r="I9" s="11"/>
      <c r="J9" s="12"/>
    </row>
    <row r="10" spans="3:8" ht="12" thickBot="1">
      <c r="C10" s="13" t="s">
        <v>3</v>
      </c>
      <c r="D10" s="13" t="s">
        <v>78</v>
      </c>
      <c r="F10" s="14" t="s">
        <v>4</v>
      </c>
      <c r="G10" s="15">
        <v>1</v>
      </c>
      <c r="H10" s="16" t="s">
        <v>5</v>
      </c>
    </row>
    <row r="11" spans="3:10" ht="11.25">
      <c r="C11" s="9">
        <v>130</v>
      </c>
      <c r="D11" s="9">
        <v>26</v>
      </c>
      <c r="F11" s="14" t="s">
        <v>6</v>
      </c>
      <c r="G11" s="15">
        <v>2</v>
      </c>
      <c r="H11" s="16" t="s">
        <v>7</v>
      </c>
      <c r="I11" s="15">
        <f>G11*10</f>
        <v>20</v>
      </c>
      <c r="J11" s="1" t="s">
        <v>5</v>
      </c>
    </row>
    <row r="12" spans="3:4" ht="11.25">
      <c r="C12" s="9">
        <v>125</v>
      </c>
      <c r="D12" s="9">
        <v>25</v>
      </c>
    </row>
    <row r="13" spans="3:4" ht="11.25">
      <c r="C13" s="9">
        <v>130</v>
      </c>
      <c r="D13" s="9">
        <v>25</v>
      </c>
    </row>
    <row r="14" spans="3:4" ht="11.25">
      <c r="C14" s="9">
        <v>125</v>
      </c>
      <c r="D14" s="9">
        <v>25</v>
      </c>
    </row>
    <row r="15" spans="3:4" ht="11.25">
      <c r="C15" s="9">
        <v>127</v>
      </c>
      <c r="D15" s="9">
        <v>25</v>
      </c>
    </row>
    <row r="16" ht="11.25">
      <c r="I16" s="17"/>
    </row>
    <row r="17" ht="11.25">
      <c r="I17" s="17"/>
    </row>
    <row r="18" spans="2:9" ht="11.25">
      <c r="B18" s="18" t="s">
        <v>8</v>
      </c>
      <c r="C18" s="18" t="s">
        <v>9</v>
      </c>
      <c r="I18" s="17"/>
    </row>
    <row r="19" ht="11.25">
      <c r="I19" s="17"/>
    </row>
    <row r="20" spans="3:25" ht="11.25">
      <c r="C20" s="9" t="s">
        <v>1</v>
      </c>
      <c r="G20" s="9" t="s">
        <v>2</v>
      </c>
      <c r="H20" s="19" t="s">
        <v>36</v>
      </c>
      <c r="I20" s="20"/>
      <c r="X20" s="21"/>
      <c r="Y20" s="21"/>
    </row>
    <row r="21" spans="3:25" ht="12" thickBot="1">
      <c r="C21" s="13" t="s">
        <v>3</v>
      </c>
      <c r="G21" s="13" t="s">
        <v>78</v>
      </c>
      <c r="H21" s="22" t="s">
        <v>37</v>
      </c>
      <c r="I21" s="23"/>
      <c r="X21" s="21"/>
      <c r="Y21" s="21"/>
    </row>
    <row r="22" spans="3:25" ht="11.25">
      <c r="C22" s="9">
        <f>C11</f>
        <v>130</v>
      </c>
      <c r="G22" s="9">
        <f>D11</f>
        <v>26</v>
      </c>
      <c r="H22" s="24" t="s">
        <v>27</v>
      </c>
      <c r="I22" s="25"/>
      <c r="X22" s="21"/>
      <c r="Y22" s="21"/>
    </row>
    <row r="23" spans="3:25" ht="11.25">
      <c r="C23" s="9">
        <f>C12</f>
        <v>125</v>
      </c>
      <c r="G23" s="9">
        <f>D12</f>
        <v>25</v>
      </c>
      <c r="X23" s="21"/>
      <c r="Y23" s="21"/>
    </row>
    <row r="24" spans="3:25" ht="11.25">
      <c r="C24" s="9">
        <f>C13</f>
        <v>130</v>
      </c>
      <c r="G24" s="9">
        <f>D13</f>
        <v>25</v>
      </c>
      <c r="X24" s="21"/>
      <c r="Y24" s="21"/>
    </row>
    <row r="25" spans="3:25" ht="11.25">
      <c r="C25" s="9">
        <f>C14</f>
        <v>125</v>
      </c>
      <c r="G25" s="9">
        <f>D14</f>
        <v>25</v>
      </c>
      <c r="X25" s="21"/>
      <c r="Y25" s="21"/>
    </row>
    <row r="26" spans="3:25" ht="11.25">
      <c r="C26" s="9">
        <f>C15</f>
        <v>127</v>
      </c>
      <c r="G26" s="9">
        <f>D15</f>
        <v>25</v>
      </c>
      <c r="X26" s="21"/>
      <c r="Y26" s="21"/>
    </row>
    <row r="27" spans="3:25" ht="11.25">
      <c r="C27" s="9"/>
      <c r="G27" s="9"/>
      <c r="X27" s="21"/>
      <c r="Y27" s="21"/>
    </row>
    <row r="28" spans="24:25" ht="11.25">
      <c r="X28" s="21"/>
      <c r="Y28" s="21"/>
    </row>
    <row r="29" spans="2:25" ht="11.25">
      <c r="B29" s="26" t="s">
        <v>10</v>
      </c>
      <c r="C29" s="27">
        <f>AVERAGE(C22:C26)</f>
        <v>127.4</v>
      </c>
      <c r="D29" s="28" t="s">
        <v>38</v>
      </c>
      <c r="E29" s="8"/>
      <c r="F29" s="26" t="s">
        <v>11</v>
      </c>
      <c r="G29" s="27">
        <f>AVERAGE(measd_L)</f>
        <v>25.2</v>
      </c>
      <c r="H29" s="28" t="s">
        <v>79</v>
      </c>
      <c r="I29" s="7"/>
      <c r="J29" s="29" t="s">
        <v>42</v>
      </c>
      <c r="K29" s="30"/>
      <c r="L29" s="30"/>
      <c r="M29" s="20"/>
      <c r="X29" s="21"/>
      <c r="Y29" s="21"/>
    </row>
    <row r="30" spans="2:25" ht="11.25">
      <c r="B30" s="31" t="s">
        <v>12</v>
      </c>
      <c r="C30" s="32">
        <f>STDEV(C22:C26)</f>
        <v>2.509980079602082</v>
      </c>
      <c r="D30" s="33" t="s">
        <v>39</v>
      </c>
      <c r="E30" s="34"/>
      <c r="F30" s="31" t="s">
        <v>13</v>
      </c>
      <c r="G30" s="32">
        <f>STDEV(measd_L)</f>
        <v>0.4472135955000088</v>
      </c>
      <c r="H30" s="33" t="s">
        <v>80</v>
      </c>
      <c r="I30" s="21"/>
      <c r="J30" s="22" t="s">
        <v>30</v>
      </c>
      <c r="K30" s="35"/>
      <c r="L30" s="35"/>
      <c r="M30" s="23"/>
      <c r="X30" s="21"/>
      <c r="Y30" s="21"/>
    </row>
    <row r="31" spans="2:25" ht="11.25">
      <c r="B31" s="31" t="s">
        <v>44</v>
      </c>
      <c r="C31" s="66">
        <f>C30^2</f>
        <v>6.299999999999273</v>
      </c>
      <c r="D31" s="67" t="s">
        <v>47</v>
      </c>
      <c r="E31" s="34"/>
      <c r="F31" s="31" t="s">
        <v>44</v>
      </c>
      <c r="G31" s="66">
        <f>stdev_L^2</f>
        <v>0.20000000000004547</v>
      </c>
      <c r="H31" s="67" t="s">
        <v>81</v>
      </c>
      <c r="I31" s="34"/>
      <c r="J31" s="22" t="s">
        <v>31</v>
      </c>
      <c r="K31" s="35"/>
      <c r="L31" s="35"/>
      <c r="M31" s="23"/>
      <c r="X31" s="21"/>
      <c r="Y31" s="21"/>
    </row>
    <row r="32" spans="2:25" ht="11.25">
      <c r="B32" s="68" t="s">
        <v>45</v>
      </c>
      <c r="C32" s="36">
        <f>COUNT(C22:C26)-1</f>
        <v>4</v>
      </c>
      <c r="D32" s="33" t="s">
        <v>46</v>
      </c>
      <c r="E32" s="34"/>
      <c r="F32" s="68" t="s">
        <v>50</v>
      </c>
      <c r="G32" s="36">
        <f>COUNT(measd_L)-1</f>
        <v>4</v>
      </c>
      <c r="H32" s="33" t="s">
        <v>51</v>
      </c>
      <c r="I32" s="21"/>
      <c r="J32" s="22" t="s">
        <v>32</v>
      </c>
      <c r="K32" s="35"/>
      <c r="L32" s="35"/>
      <c r="M32" s="23"/>
      <c r="X32" s="21"/>
      <c r="Y32" s="21"/>
    </row>
    <row r="33" spans="2:25" ht="13.5">
      <c r="B33" s="31" t="s">
        <v>48</v>
      </c>
      <c r="C33" s="36">
        <v>2.776</v>
      </c>
      <c r="D33" s="21" t="s">
        <v>49</v>
      </c>
      <c r="E33" s="34"/>
      <c r="F33" s="31" t="s">
        <v>48</v>
      </c>
      <c r="G33" s="36">
        <v>2.776</v>
      </c>
      <c r="H33" s="21" t="s">
        <v>49</v>
      </c>
      <c r="I33" s="21"/>
      <c r="J33" s="22"/>
      <c r="K33" s="35"/>
      <c r="L33" s="35"/>
      <c r="M33" s="23"/>
      <c r="X33" s="21"/>
      <c r="Y33" s="21"/>
    </row>
    <row r="34" spans="2:25" ht="13.5">
      <c r="B34" s="68" t="s">
        <v>48</v>
      </c>
      <c r="C34" s="36">
        <v>1.96</v>
      </c>
      <c r="D34" s="21" t="s">
        <v>49</v>
      </c>
      <c r="E34" s="34"/>
      <c r="F34" s="68" t="s">
        <v>48</v>
      </c>
      <c r="G34" s="36">
        <v>1.96</v>
      </c>
      <c r="H34" s="21" t="s">
        <v>49</v>
      </c>
      <c r="I34" s="21"/>
      <c r="J34" s="22" t="s">
        <v>33</v>
      </c>
      <c r="K34" s="35"/>
      <c r="L34" s="35"/>
      <c r="M34" s="23"/>
      <c r="X34" s="21"/>
      <c r="Y34" s="21"/>
    </row>
    <row r="35" spans="2:25" ht="11.25">
      <c r="B35" s="37" t="s">
        <v>28</v>
      </c>
      <c r="C35" s="38"/>
      <c r="D35" s="39"/>
      <c r="E35" s="23"/>
      <c r="F35" s="37" t="s">
        <v>43</v>
      </c>
      <c r="G35" s="38"/>
      <c r="H35" s="39"/>
      <c r="I35" s="35"/>
      <c r="J35" s="22"/>
      <c r="K35" s="35"/>
      <c r="L35" s="35"/>
      <c r="M35" s="23"/>
      <c r="X35" s="21"/>
      <c r="Y35" s="21"/>
    </row>
    <row r="36" spans="2:25" ht="11.25">
      <c r="B36" s="40"/>
      <c r="C36" s="41"/>
      <c r="D36" s="42"/>
      <c r="E36" s="25"/>
      <c r="F36" s="43" t="s">
        <v>29</v>
      </c>
      <c r="G36" s="41"/>
      <c r="H36" s="42"/>
      <c r="I36" s="25"/>
      <c r="J36" s="40"/>
      <c r="K36" s="44"/>
      <c r="L36" s="44"/>
      <c r="M36" s="25"/>
      <c r="X36" s="21"/>
      <c r="Y36" s="21"/>
    </row>
    <row r="37" spans="2:25" ht="11.25">
      <c r="B37" s="14"/>
      <c r="C37" s="9"/>
      <c r="D37" s="45"/>
      <c r="F37" s="14"/>
      <c r="G37" s="9"/>
      <c r="H37" s="45"/>
      <c r="X37" s="21"/>
      <c r="Y37" s="21"/>
    </row>
    <row r="38" spans="3:25" ht="13.5">
      <c r="C38" s="14" t="s">
        <v>53</v>
      </c>
      <c r="D38" s="47">
        <f>C33*C30/SQRT(C32)</f>
        <v>3.4838523504876893</v>
      </c>
      <c r="E38" s="1" t="s">
        <v>3</v>
      </c>
      <c r="F38" s="46" t="s">
        <v>82</v>
      </c>
      <c r="H38" s="47">
        <f>t95pct*stdev_L/SQRT(n_L)</f>
        <v>0.6207324705540122</v>
      </c>
      <c r="I38" s="1" t="s">
        <v>78</v>
      </c>
      <c r="X38" s="21"/>
      <c r="Y38" s="21"/>
    </row>
    <row r="39" spans="3:9" ht="13.5">
      <c r="C39" s="87" t="s">
        <v>54</v>
      </c>
      <c r="D39" s="47">
        <f>C34*G10/SQRT(12)</f>
        <v>0.5658032638058332</v>
      </c>
      <c r="E39" s="1" t="s">
        <v>3</v>
      </c>
      <c r="F39" s="88" t="s">
        <v>83</v>
      </c>
      <c r="H39" s="47">
        <f>tau95*smu_L/10/SQRT(12)</f>
        <v>1.1316065276116667</v>
      </c>
      <c r="I39" s="1" t="s">
        <v>78</v>
      </c>
    </row>
    <row r="40" spans="2:8" ht="11.25">
      <c r="B40" s="18"/>
      <c r="D40" s="47"/>
      <c r="F40" s="18"/>
      <c r="H40" s="9"/>
    </row>
    <row r="41" spans="1:6" ht="14.25">
      <c r="A41" s="64" t="s">
        <v>57</v>
      </c>
      <c r="B41" s="14" t="s">
        <v>55</v>
      </c>
      <c r="C41" s="69">
        <f>MAX(t95pct*stdev_D/SQRT(n_D),smu_D/SQRT(12))</f>
        <v>3.4838523504876893</v>
      </c>
      <c r="D41" s="70" t="s">
        <v>61</v>
      </c>
      <c r="E41" s="18"/>
      <c r="F41" s="18"/>
    </row>
    <row r="42" spans="1:6" ht="14.25">
      <c r="A42" s="64" t="s">
        <v>58</v>
      </c>
      <c r="B42" s="14" t="s">
        <v>56</v>
      </c>
      <c r="C42" s="69">
        <f>MAX(t95pct*stdev_L/SQRT(n_L),tau95*smu_L/10/SQRT(12))</f>
        <v>1.1316065276116667</v>
      </c>
      <c r="D42" s="70" t="s">
        <v>84</v>
      </c>
      <c r="E42" s="18"/>
      <c r="F42" s="18"/>
    </row>
    <row r="43" spans="1:6" ht="12" thickBot="1">
      <c r="A43" s="65"/>
      <c r="B43" s="48"/>
      <c r="C43" s="49" t="s">
        <v>41</v>
      </c>
      <c r="D43" s="48"/>
      <c r="E43" s="49"/>
      <c r="F43" s="49"/>
    </row>
    <row r="44" spans="1:6" ht="11.25">
      <c r="A44" s="65" t="s">
        <v>34</v>
      </c>
      <c r="B44" s="14" t="s">
        <v>14</v>
      </c>
      <c r="C44" s="50">
        <f>ROUND((1/4)*PI()*2*mean_D*mean_L*10,-2)</f>
        <v>50400</v>
      </c>
      <c r="D44" s="45" t="s">
        <v>92</v>
      </c>
      <c r="E44" s="18"/>
      <c r="F44" s="18"/>
    </row>
    <row r="45" spans="1:15" ht="12" thickBot="1">
      <c r="A45" s="65"/>
      <c r="E45" s="18"/>
      <c r="F45" s="18"/>
      <c r="I45" s="48"/>
      <c r="J45" s="49" t="s">
        <v>40</v>
      </c>
      <c r="K45" s="49"/>
      <c r="L45" s="49"/>
      <c r="M45" s="48"/>
      <c r="N45" s="48"/>
      <c r="O45" s="48"/>
    </row>
    <row r="46" spans="1:12" ht="11.25">
      <c r="A46" s="65" t="s">
        <v>35</v>
      </c>
      <c r="B46" s="14" t="s">
        <v>15</v>
      </c>
      <c r="C46" s="50">
        <f>ROUND((1/4)*PI()*(mean_D)^2,-2)</f>
        <v>12700</v>
      </c>
      <c r="D46" s="45" t="s">
        <v>91</v>
      </c>
      <c r="E46" s="18"/>
      <c r="F46" s="18"/>
      <c r="I46" s="14" t="s">
        <v>20</v>
      </c>
      <c r="J46" s="89">
        <f>ROUND(V(mean_D+Uncert_D,mean_L*10)-V(mean_D,mean_L*10),-3)</f>
        <v>178000</v>
      </c>
      <c r="K46" s="9" t="s">
        <v>22</v>
      </c>
      <c r="L46" s="45" t="s">
        <v>86</v>
      </c>
    </row>
    <row r="47" spans="1:12" ht="11.25">
      <c r="A47" s="65"/>
      <c r="E47" s="18"/>
      <c r="F47" s="18"/>
      <c r="I47" s="14" t="s">
        <v>21</v>
      </c>
      <c r="J47" s="89">
        <f>ROUND(V(mean_D,(mean_L*10)+Uncert_L*10)-V(mean_D,mean_L*10),-3)</f>
        <v>144000</v>
      </c>
      <c r="K47" s="9" t="s">
        <v>22</v>
      </c>
      <c r="L47" s="45" t="s">
        <v>85</v>
      </c>
    </row>
    <row r="48" spans="1:12" ht="14.25">
      <c r="A48" s="64" t="s">
        <v>59</v>
      </c>
      <c r="B48" s="14" t="s">
        <v>60</v>
      </c>
      <c r="C48" s="51">
        <f>ROUND(SQRT((Uncert_D*dV_dD)^2+(Uncert_L*10*dV_dL)^2),-3)</f>
        <v>227000</v>
      </c>
      <c r="D48" s="45" t="s">
        <v>90</v>
      </c>
      <c r="E48" s="18"/>
      <c r="F48" s="18"/>
      <c r="I48" s="14" t="s">
        <v>77</v>
      </c>
      <c r="J48" s="90">
        <f>ROUND(SQRT(dVdDnum^2+dVdLnum^2),-3)</f>
        <v>229000</v>
      </c>
      <c r="K48" s="9" t="s">
        <v>22</v>
      </c>
      <c r="L48" s="52" t="s">
        <v>87</v>
      </c>
    </row>
    <row r="49" spans="1:12" ht="11.25">
      <c r="A49" s="65" t="s">
        <v>16</v>
      </c>
      <c r="B49" s="14" t="s">
        <v>17</v>
      </c>
      <c r="C49" s="51">
        <f>ROUND((1/4)*PI()*mean_L*10*(mean_D)^2,-4)</f>
        <v>3210000</v>
      </c>
      <c r="D49" s="45" t="s">
        <v>89</v>
      </c>
      <c r="E49" s="18"/>
      <c r="F49" s="18"/>
      <c r="I49" s="14" t="s">
        <v>23</v>
      </c>
      <c r="J49" s="91">
        <f>ROUND(V(mean_D,mean_L*10),-4)</f>
        <v>3210000</v>
      </c>
      <c r="K49" s="9" t="s">
        <v>22</v>
      </c>
      <c r="L49" s="45" t="s">
        <v>88</v>
      </c>
    </row>
    <row r="51" spans="2:13" ht="12.75">
      <c r="B51" s="14" t="s">
        <v>8</v>
      </c>
      <c r="C51" s="53" t="s">
        <v>63</v>
      </c>
      <c r="D51" s="54">
        <f>C49</f>
        <v>3210000</v>
      </c>
      <c r="E51" s="55" t="s">
        <v>18</v>
      </c>
      <c r="F51" s="54">
        <f>C48</f>
        <v>227000</v>
      </c>
      <c r="G51" s="56" t="s">
        <v>22</v>
      </c>
      <c r="I51" s="53" t="s">
        <v>64</v>
      </c>
      <c r="J51" s="57">
        <f>J49</f>
        <v>3210000</v>
      </c>
      <c r="K51" s="55" t="s">
        <v>18</v>
      </c>
      <c r="L51" s="54">
        <f>J48</f>
        <v>229000</v>
      </c>
      <c r="M51" s="56" t="s">
        <v>22</v>
      </c>
    </row>
    <row r="52" spans="3:13" ht="11.25">
      <c r="C52" s="58"/>
      <c r="D52" s="59">
        <f>D51*0.000000001</f>
        <v>0.00321</v>
      </c>
      <c r="E52" s="60" t="s">
        <v>18</v>
      </c>
      <c r="F52" s="61">
        <f>F51*0.000000001</f>
        <v>0.00022700000000000002</v>
      </c>
      <c r="G52" s="62" t="s">
        <v>24</v>
      </c>
      <c r="I52" s="58"/>
      <c r="J52" s="59">
        <f>J51*0.000000001</f>
        <v>0.00321</v>
      </c>
      <c r="K52" s="60" t="s">
        <v>18</v>
      </c>
      <c r="L52" s="61">
        <f>L51*0.000000001</f>
        <v>0.000229</v>
      </c>
      <c r="M52" s="62" t="s">
        <v>24</v>
      </c>
    </row>
    <row r="54" spans="4:9" ht="11.25">
      <c r="D54" s="63"/>
      <c r="G54" s="73" t="s">
        <v>76</v>
      </c>
      <c r="H54" s="74"/>
      <c r="I54" s="75"/>
    </row>
    <row r="55" spans="7:9" ht="11.25">
      <c r="G55" s="79"/>
      <c r="H55" s="80"/>
      <c r="I55" s="81"/>
    </row>
    <row r="56" spans="7:9" ht="11.25">
      <c r="G56" s="17"/>
      <c r="H56" s="17"/>
      <c r="I56" s="17"/>
    </row>
    <row r="57" spans="2:6" ht="13.5" customHeight="1" thickBot="1">
      <c r="B57" s="86" t="s">
        <v>65</v>
      </c>
      <c r="C57" s="86"/>
      <c r="D57" s="86"/>
      <c r="E57" s="86"/>
      <c r="F57" s="86"/>
    </row>
    <row r="59" ht="11.25">
      <c r="B59" s="1" t="s">
        <v>66</v>
      </c>
    </row>
    <row r="61" spans="2:4" ht="12.75">
      <c r="B61" s="15" t="s">
        <v>67</v>
      </c>
      <c r="C61" s="71">
        <f>dV_dD*mean_D/Vol</f>
        <v>2.0002990654205606</v>
      </c>
      <c r="D61" s="71" t="s">
        <v>74</v>
      </c>
    </row>
    <row r="62" spans="2:10" ht="13.5" customHeight="1">
      <c r="B62" s="15" t="s">
        <v>68</v>
      </c>
      <c r="C62" s="71">
        <f>dV_dL*mean_L*10/Vol</f>
        <v>0.9970093457943925</v>
      </c>
      <c r="D62" s="71" t="s">
        <v>75</v>
      </c>
      <c r="H62" s="73" t="s">
        <v>93</v>
      </c>
      <c r="I62" s="74"/>
      <c r="J62" s="75"/>
    </row>
    <row r="63" spans="8:10" ht="12.75" customHeight="1">
      <c r="H63" s="76"/>
      <c r="I63" s="77"/>
      <c r="J63" s="78"/>
    </row>
    <row r="64" spans="2:10" ht="12.75" customHeight="1">
      <c r="B64" s="1" t="s">
        <v>69</v>
      </c>
      <c r="H64" s="76"/>
      <c r="I64" s="77"/>
      <c r="J64" s="78"/>
    </row>
    <row r="65" spans="8:10" ht="11.25">
      <c r="H65" s="76"/>
      <c r="I65" s="77"/>
      <c r="J65" s="78"/>
    </row>
    <row r="66" spans="2:10" ht="12.75" customHeight="1">
      <c r="B66" s="15" t="s">
        <v>70</v>
      </c>
      <c r="C66" s="72">
        <f>dV_dD^2*Uncert_D^2/Uncert_V^2</f>
        <v>0.5983135524529573</v>
      </c>
      <c r="D66" s="72" t="s">
        <v>72</v>
      </c>
      <c r="H66" s="76"/>
      <c r="I66" s="77"/>
      <c r="J66" s="78"/>
    </row>
    <row r="67" spans="2:10" ht="12.75">
      <c r="B67" s="15" t="s">
        <v>71</v>
      </c>
      <c r="C67" s="72">
        <f>dV_dL^2*(Uncert_L*10)^2/Uncert_V^2</f>
        <v>0.40081744519267487</v>
      </c>
      <c r="D67" s="72" t="s">
        <v>73</v>
      </c>
      <c r="H67" s="79"/>
      <c r="I67" s="80"/>
      <c r="J67" s="81"/>
    </row>
  </sheetData>
  <mergeCells count="5">
    <mergeCell ref="H62:J67"/>
    <mergeCell ref="A1:O1"/>
    <mergeCell ref="B4:J4"/>
    <mergeCell ref="B57:F57"/>
    <mergeCell ref="G54:I55"/>
  </mergeCells>
  <printOptions/>
  <pageMargins left="0.75" right="0.5" top="0.75" bottom="0.5" header="0.5" footer="0.5"/>
  <pageSetup fitToHeight="1" fitToWidth="1" horizontalDpi="600" verticalDpi="600" orientation="landscape" scale="65" r:id="rId5"/>
  <drawing r:id="rId4"/>
  <legacyDrawing r:id="rId3"/>
  <oleObjects>
    <oleObject progId="Equation.2" shapeId="1641486" r:id="rId1"/>
    <oleObject progId="Equation.3" shapeId="62799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Wyoming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Lebar</dc:creator>
  <cp:keywords/>
  <dc:description/>
  <cp:lastModifiedBy>Mechanical Engineering Dept.</cp:lastModifiedBy>
  <cp:lastPrinted>2002-09-24T02:05:09Z</cp:lastPrinted>
  <dcterms:created xsi:type="dcterms:W3CDTF">1998-01-22T22:42:19Z</dcterms:created>
  <dcterms:modified xsi:type="dcterms:W3CDTF">2002-09-24T02:20:11Z</dcterms:modified>
  <cp:category/>
  <cp:version/>
  <cp:contentType/>
  <cp:contentStatus/>
</cp:coreProperties>
</file>