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1508" yWindow="-12" windowWidth="11544" windowHeight="10740" tabRatio="601"/>
  </bookViews>
  <sheets>
    <sheet name="UWHist" sheetId="35" r:id="rId1"/>
  </sheets>
  <definedNames>
    <definedName name="_Fill" localSheetId="0" hidden="1">#REF!</definedName>
    <definedName name="_Fill" hidden="1">#REF!</definedName>
    <definedName name="COPY">#REF!</definedName>
    <definedName name="_xlnm.Database" localSheetId="0">#REF!</definedName>
    <definedName name="_xlnm.Database">#REF!</definedName>
    <definedName name="Database_MI" localSheetId="0">#REF!</definedName>
    <definedName name="Database_MI">#REF!</definedName>
    <definedName name="NONRES" localSheetId="0">#REF!</definedName>
    <definedName name="NONRES">#REF!</definedName>
    <definedName name="NOTE">#N/A</definedName>
    <definedName name="NR" localSheetId="0">#REF!</definedName>
    <definedName name="NR">#REF!</definedName>
    <definedName name="PERCENT">#N/A</definedName>
    <definedName name="Print_Area_MI" localSheetId="0">#REF!</definedName>
    <definedName name="Print_Area_MI">#REF!</definedName>
    <definedName name="_xlnm.Print_Titles" localSheetId="0">UWHist!$5:$8</definedName>
    <definedName name="RES" localSheetId="0">#REF!</definedName>
    <definedName name="RES">#REF!</definedName>
    <definedName name="TrusteeGrad">#REF!</definedName>
  </definedNames>
  <calcPr calcId="145621"/>
</workbook>
</file>

<file path=xl/calcChain.xml><?xml version="1.0" encoding="utf-8"?>
<calcChain xmlns="http://schemas.openxmlformats.org/spreadsheetml/2006/main">
  <c r="L66" i="35" l="1"/>
  <c r="M66" i="35" s="1"/>
  <c r="I66" i="35"/>
  <c r="J66" i="35" s="1"/>
  <c r="G66" i="35"/>
  <c r="F66" i="35"/>
  <c r="D66" i="35"/>
  <c r="L64" i="35"/>
  <c r="M64" i="35" s="1"/>
  <c r="I64" i="35"/>
  <c r="J64" i="35" s="1"/>
  <c r="F64" i="35"/>
  <c r="G64" i="35" s="1"/>
  <c r="D64" i="35"/>
  <c r="L62" i="35"/>
  <c r="M62" i="35" s="1"/>
  <c r="I62" i="35"/>
  <c r="J62" i="35" s="1"/>
  <c r="G62" i="35"/>
  <c r="D62" i="35"/>
  <c r="M61" i="35"/>
  <c r="J61" i="35"/>
  <c r="G61" i="35"/>
  <c r="D61" i="35"/>
  <c r="M60" i="35"/>
  <c r="J60" i="35"/>
  <c r="G60" i="35"/>
  <c r="D60" i="35"/>
  <c r="M59" i="35"/>
  <c r="L59" i="35"/>
  <c r="J59" i="35"/>
  <c r="I59" i="35"/>
  <c r="F59" i="35"/>
  <c r="G59" i="35" s="1"/>
  <c r="D59" i="35"/>
  <c r="L58" i="35"/>
  <c r="M58" i="35" s="1"/>
  <c r="I58" i="35"/>
  <c r="J58" i="35" s="1"/>
  <c r="F58" i="35"/>
  <c r="G58" i="35" s="1"/>
  <c r="D58" i="35"/>
  <c r="N57" i="35"/>
  <c r="L57" i="35"/>
  <c r="M57" i="35" s="1"/>
  <c r="K57" i="35"/>
  <c r="I57" i="35"/>
  <c r="H57" i="35"/>
  <c r="J57" i="35" s="1"/>
  <c r="F57" i="35"/>
  <c r="E57" i="35"/>
  <c r="G57" i="35" s="1"/>
  <c r="D57" i="35"/>
  <c r="C57" i="35"/>
  <c r="B57" i="35"/>
  <c r="N56" i="35"/>
  <c r="L56" i="35"/>
  <c r="M56" i="35" s="1"/>
  <c r="I56" i="35"/>
  <c r="J56" i="35" s="1"/>
  <c r="G56" i="35"/>
  <c r="F56" i="35"/>
  <c r="E56" i="35"/>
  <c r="C56" i="35"/>
  <c r="B56" i="35"/>
  <c r="D56" i="35" s="1"/>
  <c r="N53" i="35"/>
  <c r="L53" i="35"/>
  <c r="M53" i="35" s="1"/>
  <c r="K53" i="35"/>
  <c r="I53" i="35"/>
  <c r="H53" i="35"/>
  <c r="J53" i="35" s="1"/>
  <c r="F53" i="35"/>
  <c r="E53" i="35"/>
  <c r="G53" i="35" s="1"/>
  <c r="D53" i="35"/>
  <c r="C53" i="35"/>
  <c r="B53" i="35"/>
  <c r="N52" i="35"/>
  <c r="L52" i="35"/>
  <c r="K52" i="35"/>
  <c r="M52" i="35" s="1"/>
  <c r="I52" i="35"/>
  <c r="J52" i="35" s="1"/>
  <c r="H52" i="35"/>
  <c r="F52" i="35"/>
  <c r="E52" i="35"/>
  <c r="G52" i="35" s="1"/>
  <c r="C52" i="35"/>
  <c r="B52" i="35"/>
  <c r="D52" i="35" s="1"/>
  <c r="N51" i="35"/>
  <c r="L51" i="35"/>
  <c r="K51" i="35"/>
  <c r="M51" i="35" s="1"/>
  <c r="I51" i="35"/>
  <c r="H51" i="35"/>
  <c r="J51" i="35" s="1"/>
  <c r="F51" i="35"/>
  <c r="G51" i="35" s="1"/>
  <c r="E51" i="35"/>
  <c r="C51" i="35"/>
  <c r="B51" i="35"/>
  <c r="D51" i="35" s="1"/>
  <c r="N50" i="35"/>
  <c r="L50" i="35"/>
  <c r="K50" i="35"/>
  <c r="M50" i="35" s="1"/>
  <c r="I50" i="35"/>
  <c r="H50" i="35"/>
  <c r="J50" i="35" s="1"/>
  <c r="F50" i="35"/>
  <c r="E50" i="35"/>
  <c r="G50" i="35" s="1"/>
  <c r="C50" i="35"/>
  <c r="D50" i="35" s="1"/>
  <c r="B50" i="35"/>
  <c r="N49" i="35"/>
  <c r="L49" i="35"/>
  <c r="K49" i="35"/>
  <c r="M49" i="35" s="1"/>
  <c r="I49" i="35"/>
  <c r="H49" i="35"/>
  <c r="J49" i="35" s="1"/>
  <c r="F49" i="35"/>
  <c r="E49" i="35"/>
  <c r="G49" i="35" s="1"/>
  <c r="C49" i="35"/>
  <c r="B49" i="35"/>
  <c r="D49" i="35" s="1"/>
  <c r="N48" i="35"/>
  <c r="M48" i="35"/>
  <c r="L48" i="35"/>
  <c r="K48" i="35"/>
  <c r="I48" i="35"/>
  <c r="H48" i="35"/>
  <c r="J48" i="35" s="1"/>
  <c r="F48" i="35"/>
  <c r="E48" i="35"/>
  <c r="G48" i="35" s="1"/>
  <c r="C48" i="35"/>
  <c r="B48" i="35"/>
  <c r="D48" i="35" s="1"/>
  <c r="N47" i="35"/>
  <c r="L47" i="35"/>
  <c r="K47" i="35"/>
  <c r="M47" i="35" s="1"/>
  <c r="J47" i="35"/>
  <c r="I47" i="35"/>
  <c r="H47" i="35"/>
  <c r="F47" i="35"/>
  <c r="E47" i="35"/>
  <c r="G47" i="35" s="1"/>
  <c r="C47" i="35"/>
  <c r="B47" i="35"/>
  <c r="D47" i="35" s="1"/>
  <c r="N46" i="35"/>
  <c r="L46" i="35"/>
  <c r="K46" i="35"/>
  <c r="M46" i="35" s="1"/>
  <c r="I46" i="35"/>
  <c r="H46" i="35"/>
  <c r="J46" i="35" s="1"/>
  <c r="G46" i="35"/>
  <c r="F46" i="35"/>
  <c r="E46" i="35"/>
  <c r="C46" i="35"/>
  <c r="B46" i="35"/>
  <c r="D46" i="35" s="1"/>
  <c r="N45" i="35"/>
  <c r="L45" i="35"/>
  <c r="M45" i="35" s="1"/>
  <c r="K45" i="35"/>
  <c r="I45" i="35"/>
  <c r="H45" i="35"/>
  <c r="J45" i="35" s="1"/>
  <c r="F45" i="35"/>
  <c r="E45" i="35"/>
  <c r="G45" i="35" s="1"/>
  <c r="D45" i="35"/>
  <c r="C45" i="35"/>
  <c r="B45" i="35"/>
  <c r="N44" i="35"/>
  <c r="L44" i="35"/>
  <c r="K44" i="35"/>
  <c r="M44" i="35" s="1"/>
  <c r="I44" i="35"/>
  <c r="J44" i="35" s="1"/>
  <c r="H44" i="35"/>
  <c r="F44" i="35"/>
  <c r="E44" i="35"/>
  <c r="G44" i="35" s="1"/>
  <c r="C44" i="35"/>
  <c r="B44" i="35"/>
  <c r="D44" i="35" s="1"/>
  <c r="N43" i="35"/>
  <c r="L43" i="35"/>
  <c r="K43" i="35"/>
  <c r="M43" i="35" s="1"/>
  <c r="I43" i="35"/>
  <c r="H43" i="35"/>
  <c r="J43" i="35" s="1"/>
  <c r="F43" i="35"/>
  <c r="G43" i="35" s="1"/>
  <c r="E43" i="35"/>
  <c r="C43" i="35"/>
  <c r="B43" i="35"/>
  <c r="D43" i="35" s="1"/>
  <c r="N42" i="35"/>
  <c r="L42" i="35"/>
  <c r="K42" i="35"/>
  <c r="M42" i="35" s="1"/>
  <c r="I42" i="35"/>
  <c r="H42" i="35"/>
  <c r="J42" i="35" s="1"/>
  <c r="F42" i="35"/>
  <c r="E42" i="35"/>
  <c r="G42" i="35" s="1"/>
  <c r="C42" i="35"/>
  <c r="D42" i="35" s="1"/>
  <c r="B42" i="35"/>
  <c r="N41" i="35"/>
  <c r="F41" i="35"/>
  <c r="E41" i="35"/>
  <c r="G41" i="35" s="1"/>
  <c r="C41" i="35"/>
  <c r="B41" i="35"/>
  <c r="D41" i="35" s="1"/>
  <c r="N40" i="35"/>
  <c r="F40" i="35"/>
  <c r="E40" i="35"/>
  <c r="G40" i="35" s="1"/>
  <c r="C40" i="35"/>
  <c r="B40" i="35"/>
  <c r="D40" i="35" s="1"/>
  <c r="N39" i="35"/>
  <c r="F39" i="35"/>
  <c r="E39" i="35"/>
  <c r="G39" i="35" s="1"/>
  <c r="C39" i="35"/>
  <c r="B39" i="35"/>
  <c r="D39" i="35" s="1"/>
  <c r="N38" i="35"/>
  <c r="G38" i="35"/>
  <c r="F38" i="35"/>
  <c r="E38" i="35"/>
  <c r="C38" i="35"/>
  <c r="B38" i="35"/>
  <c r="D38" i="35" s="1"/>
  <c r="N37" i="35"/>
  <c r="F37" i="35"/>
  <c r="G37" i="35" s="1"/>
  <c r="E37" i="35"/>
  <c r="C37" i="35"/>
  <c r="B37" i="35"/>
  <c r="D37" i="35" s="1"/>
  <c r="N36" i="35"/>
  <c r="F36" i="35"/>
  <c r="E36" i="35"/>
  <c r="G36" i="35" s="1"/>
  <c r="C36" i="35"/>
  <c r="B36" i="35"/>
  <c r="D36" i="35" s="1"/>
  <c r="N35" i="35"/>
  <c r="F35" i="35"/>
  <c r="E35" i="35"/>
  <c r="G35" i="35" s="1"/>
  <c r="D35" i="35"/>
  <c r="C35" i="35"/>
  <c r="B35" i="35"/>
  <c r="N34" i="35"/>
  <c r="F34" i="35"/>
  <c r="E34" i="35"/>
  <c r="G34" i="35" s="1"/>
  <c r="C34" i="35"/>
  <c r="D34" i="35" s="1"/>
  <c r="B34" i="35"/>
  <c r="N33" i="35"/>
  <c r="F33" i="35"/>
  <c r="E33" i="35"/>
  <c r="G33" i="35" s="1"/>
  <c r="C33" i="35"/>
  <c r="B33" i="35"/>
  <c r="D33" i="35" s="1"/>
  <c r="N32" i="35"/>
  <c r="F32" i="35"/>
  <c r="E32" i="35"/>
  <c r="G32" i="35" s="1"/>
  <c r="C32" i="35"/>
  <c r="B32" i="35"/>
  <c r="D32" i="35" s="1"/>
  <c r="N31" i="35"/>
  <c r="F31" i="35"/>
  <c r="E31" i="35"/>
  <c r="G31" i="35" s="1"/>
  <c r="C31" i="35"/>
  <c r="B31" i="35"/>
  <c r="D31" i="35" s="1"/>
  <c r="F30" i="35"/>
  <c r="G30" i="35" s="1"/>
  <c r="E30" i="35"/>
  <c r="C30" i="35"/>
  <c r="B30" i="35"/>
  <c r="D30" i="35" s="1"/>
  <c r="N29" i="35"/>
  <c r="F29" i="35"/>
  <c r="E29" i="35"/>
  <c r="G29" i="35" s="1"/>
  <c r="C29" i="35"/>
  <c r="B29" i="35"/>
  <c r="D29" i="35" s="1"/>
  <c r="N28" i="35"/>
  <c r="F28" i="35"/>
  <c r="E28" i="35"/>
  <c r="G28" i="35" s="1"/>
  <c r="D28" i="35"/>
  <c r="C28" i="35"/>
  <c r="B28" i="35"/>
  <c r="N26" i="35"/>
  <c r="F26" i="35"/>
  <c r="E26" i="35"/>
  <c r="G26" i="35" s="1"/>
  <c r="C26" i="35"/>
  <c r="D26" i="35" s="1"/>
  <c r="B26" i="35"/>
  <c r="N25" i="35"/>
  <c r="F25" i="35"/>
  <c r="E25" i="35"/>
  <c r="G25" i="35" s="1"/>
  <c r="C25" i="35"/>
  <c r="B25" i="35"/>
  <c r="D25" i="35" s="1"/>
  <c r="N24" i="35"/>
  <c r="F24" i="35"/>
  <c r="E24" i="35"/>
  <c r="G24" i="35" s="1"/>
  <c r="C24" i="35"/>
  <c r="B24" i="35"/>
  <c r="D24" i="35" s="1"/>
  <c r="N23" i="35"/>
  <c r="F23" i="35"/>
  <c r="E23" i="35"/>
  <c r="G23" i="35" s="1"/>
  <c r="C23" i="35"/>
  <c r="B23" i="35"/>
  <c r="D23" i="35" s="1"/>
  <c r="N22" i="35"/>
  <c r="G22" i="35"/>
  <c r="F22" i="35"/>
  <c r="E22" i="35"/>
  <c r="C22" i="35"/>
  <c r="B22" i="35"/>
  <c r="D22" i="35" s="1"/>
  <c r="N21" i="35"/>
  <c r="F21" i="35"/>
  <c r="G21" i="35" s="1"/>
  <c r="E21" i="35"/>
  <c r="C21" i="35"/>
  <c r="B21" i="35"/>
  <c r="D21" i="35" s="1"/>
  <c r="N20" i="35"/>
  <c r="F20" i="35"/>
  <c r="E20" i="35"/>
  <c r="G20" i="35" s="1"/>
  <c r="C20" i="35"/>
  <c r="B20" i="35"/>
  <c r="D20" i="35" s="1"/>
  <c r="N19" i="35"/>
  <c r="F19" i="35"/>
  <c r="E19" i="35"/>
  <c r="G19" i="35" s="1"/>
  <c r="D19" i="35"/>
  <c r="C19" i="35"/>
  <c r="B19" i="35"/>
  <c r="N18" i="35"/>
  <c r="F18" i="35"/>
  <c r="E18" i="35"/>
  <c r="G18" i="35" s="1"/>
  <c r="C18" i="35"/>
  <c r="D18" i="35" s="1"/>
  <c r="B18" i="35"/>
  <c r="N15" i="35"/>
  <c r="F15" i="35"/>
  <c r="E15" i="35"/>
  <c r="G15" i="35" s="1"/>
  <c r="C15" i="35"/>
  <c r="B15" i="35"/>
  <c r="D15" i="35" s="1"/>
  <c r="N14" i="35"/>
  <c r="F14" i="35"/>
  <c r="E14" i="35"/>
  <c r="G14" i="35" s="1"/>
  <c r="C14" i="35"/>
  <c r="B14" i="35"/>
  <c r="D14" i="35" s="1"/>
  <c r="N13" i="35"/>
  <c r="F13" i="35"/>
  <c r="E13" i="35"/>
  <c r="G13" i="35" s="1"/>
  <c r="C13" i="35"/>
  <c r="B13" i="35"/>
  <c r="D13" i="35" s="1"/>
  <c r="N12" i="35"/>
  <c r="G12" i="35"/>
  <c r="F12" i="35"/>
  <c r="E12" i="35"/>
  <c r="C12" i="35"/>
  <c r="B12" i="35"/>
  <c r="D12" i="35" s="1"/>
  <c r="N11" i="35"/>
  <c r="F11" i="35"/>
  <c r="G11" i="35" s="1"/>
  <c r="E11" i="35"/>
  <c r="C11" i="35"/>
  <c r="B11" i="35"/>
  <c r="D11" i="35" s="1"/>
  <c r="N10" i="35"/>
  <c r="F10" i="35"/>
  <c r="E10" i="35"/>
  <c r="G10" i="35" s="1"/>
  <c r="C10" i="35"/>
  <c r="B10" i="35"/>
  <c r="D10" i="35" s="1"/>
  <c r="N9" i="35"/>
  <c r="F9" i="35"/>
  <c r="E9" i="35"/>
  <c r="G9" i="35" s="1"/>
  <c r="D9" i="35"/>
  <c r="C9" i="35"/>
  <c r="B9" i="35"/>
</calcChain>
</file>

<file path=xl/comments1.xml><?xml version="1.0" encoding="utf-8"?>
<comments xmlns="http://schemas.openxmlformats.org/spreadsheetml/2006/main">
  <authors>
    <author>Suzanne Waggoner</author>
  </authors>
  <commentList>
    <comment ref="C9" authorId="0">
      <text>
        <r>
          <rPr>
            <b/>
            <sz val="8"/>
            <color indexed="81"/>
            <rFont val="Tahoma"/>
            <family val="2"/>
          </rPr>
          <t>Suzanne Waggoner:</t>
        </r>
        <r>
          <rPr>
            <sz val="8"/>
            <color indexed="81"/>
            <rFont val="Tahoma"/>
            <family val="2"/>
          </rPr>
          <t xml:space="preserve">
Fees for women are $20.5/semester &amp; fees for men are $19.75/semester so rounded to $20/semester</t>
        </r>
      </text>
    </comment>
    <comment ref="F9" authorId="0">
      <text>
        <r>
          <rPr>
            <b/>
            <sz val="8"/>
            <color indexed="81"/>
            <rFont val="Tahoma"/>
            <family val="2"/>
          </rPr>
          <t>Suzanne Waggoner:</t>
        </r>
        <r>
          <rPr>
            <sz val="8"/>
            <color indexed="81"/>
            <rFont val="Tahoma"/>
            <family val="2"/>
          </rPr>
          <t xml:space="preserve">
Fees for women are $20.5/semester &amp; fees for men are $19.75/semester so rounded to $20/semester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Suzanne Waggoner:</t>
        </r>
        <r>
          <rPr>
            <sz val="8"/>
            <color indexed="81"/>
            <rFont val="Tahoma"/>
            <family val="2"/>
          </rPr>
          <t xml:space="preserve">
Fees for women are $20.5/semester &amp; fees for men are $19.75/semester so rounded to $20/semester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>Suzanne Waggoner:</t>
        </r>
        <r>
          <rPr>
            <sz val="8"/>
            <color indexed="81"/>
            <rFont val="Tahoma"/>
            <family val="2"/>
          </rPr>
          <t xml:space="preserve">
Fees for women are $20.5/semester &amp; fees for men are $19.75/semester so rounded to $20/semester</t>
        </r>
      </text>
    </comment>
    <comment ref="C11" authorId="0">
      <text>
        <r>
          <rPr>
            <b/>
            <sz val="8"/>
            <color indexed="81"/>
            <rFont val="Tahoma"/>
            <family val="2"/>
          </rPr>
          <t>Suzanne Waggoner:</t>
        </r>
        <r>
          <rPr>
            <sz val="8"/>
            <color indexed="81"/>
            <rFont val="Tahoma"/>
            <family val="2"/>
          </rPr>
          <t xml:space="preserve">
Fees for women are $21.25/semester &amp; fees for men are $20.5/semester so rounded to $21/semester</t>
        </r>
      </text>
    </comment>
    <comment ref="F11" authorId="0">
      <text>
        <r>
          <rPr>
            <b/>
            <sz val="8"/>
            <color indexed="81"/>
            <rFont val="Tahoma"/>
            <family val="2"/>
          </rPr>
          <t>Suzanne Waggoner:</t>
        </r>
        <r>
          <rPr>
            <sz val="8"/>
            <color indexed="81"/>
            <rFont val="Tahoma"/>
            <family val="2"/>
          </rPr>
          <t xml:space="preserve">
Fees for women are $21.25/semester &amp; fees for men are $20.5/semester so rounded to $21/semester</t>
        </r>
      </text>
    </comment>
    <comment ref="C12" authorId="0">
      <text>
        <r>
          <rPr>
            <b/>
            <sz val="8"/>
            <color indexed="81"/>
            <rFont val="Tahoma"/>
            <family val="2"/>
          </rPr>
          <t>Suzanne Waggoner:</t>
        </r>
        <r>
          <rPr>
            <sz val="8"/>
            <color indexed="81"/>
            <rFont val="Tahoma"/>
            <family val="2"/>
          </rPr>
          <t xml:space="preserve">
Fees for women are $22.25/semester &amp; fees for men are $21.5/semester so rounded to $22/semester</t>
        </r>
      </text>
    </comment>
    <comment ref="F12" authorId="0">
      <text>
        <r>
          <rPr>
            <b/>
            <sz val="8"/>
            <color indexed="81"/>
            <rFont val="Tahoma"/>
            <family val="2"/>
          </rPr>
          <t>Suzanne Waggoner:</t>
        </r>
        <r>
          <rPr>
            <sz val="8"/>
            <color indexed="81"/>
            <rFont val="Tahoma"/>
            <family val="2"/>
          </rPr>
          <t xml:space="preserve">
Fees for women are $22.25/semester &amp; fees for men are $21.5/semester so rounded to $22/semester</t>
        </r>
      </text>
    </comment>
  </commentList>
</comments>
</file>

<file path=xl/sharedStrings.xml><?xml version="1.0" encoding="utf-8"?>
<sst xmlns="http://schemas.openxmlformats.org/spreadsheetml/2006/main" count="86" uniqueCount="75">
  <si>
    <t>OIA:SDW</t>
  </si>
  <si>
    <t>P13.052</t>
  </si>
  <si>
    <t>2013-14</t>
  </si>
  <si>
    <t>2012-13</t>
  </si>
  <si>
    <t>2005-06</t>
  </si>
  <si>
    <t>2006-07</t>
  </si>
  <si>
    <t>2007-08</t>
  </si>
  <si>
    <t>2008-09</t>
  </si>
  <si>
    <t>2009-10</t>
  </si>
  <si>
    <t>2010-11</t>
  </si>
  <si>
    <t>2011-12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</si>
  <si>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</si>
  <si>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</si>
  <si>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</si>
  <si>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</si>
  <si>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</si>
  <si>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</si>
  <si>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</si>
  <si>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</si>
  <si>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</si>
  <si>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Resident</t>
  </si>
  <si>
    <t>Non-Resident</t>
  </si>
  <si>
    <t>Academic Year</t>
  </si>
  <si>
    <t>Tuition</t>
  </si>
  <si>
    <t>Fees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</si>
  <si>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</si>
  <si>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</si>
  <si>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</si>
  <si>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</si>
  <si>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</si>
  <si>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</si>
  <si>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</si>
  <si>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</si>
  <si>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</si>
  <si>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</si>
  <si>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The University of Wyoming</t>
  </si>
  <si>
    <t>Full-Time Tuition and Fees/Room and Board History</t>
  </si>
  <si>
    <t>Full-Time Tuition and Fees</t>
  </si>
  <si>
    <t>Room and Board</t>
  </si>
  <si>
    <t>Undergraduate</t>
  </si>
  <si>
    <t>Graduate</t>
  </si>
  <si>
    <t>Total</t>
  </si>
  <si>
    <t>1961-62</t>
  </si>
  <si>
    <t>Graduate tuition &amp; fees charged are the same as Undergraduate tuition &amp; fees until 1991-92.</t>
  </si>
  <si>
    <t>1962-63</t>
  </si>
  <si>
    <t>1963-64</t>
  </si>
  <si>
    <t>1964-65</t>
  </si>
  <si>
    <t>1965-66</t>
  </si>
  <si>
    <t>1966-67</t>
  </si>
  <si>
    <t>1967-68</t>
  </si>
  <si>
    <t>Changed fee schedule so students registering for 5 hours or less pay per credit hour &amp; those registering for 5.5 hours or more pay a flat rate.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</si>
  <si>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</si>
  <si>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</si>
  <si>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</si>
  <si>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</si>
  <si>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</si>
  <si>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</si>
  <si>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</si>
  <si>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</si>
  <si>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</si>
  <si>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Change in Full-Time from 8.5 hours/semester to 12 hours/semester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</si>
  <si>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</si>
  <si>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</si>
  <si>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</si>
  <si>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</si>
  <si>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</si>
  <si>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</si>
  <si>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</si>
  <si>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</si>
  <si>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</si>
  <si>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Full-time considered 12-20 hours/semester until 1994-95 when Graduate full-time became 9-17 hours/semester.</t>
  </si>
  <si>
    <t>NOTE:  Graduate and undergraduate tuition were charged the same until 1991-92.</t>
  </si>
  <si>
    <t>1961-62 to 2013-14</t>
  </si>
  <si>
    <t>Tuition charges changed from fixed full-time tuition to per credit hour tuition.  The tuition comparison for 2003-04 through the present is 15 hours/semester for undergraduates and 12 hours/semester for graduates.</t>
  </si>
  <si>
    <t xml:space="preserve">              Room and board rates are based on the double-room occupancy rate and unlimited board 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</si>
</sst>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General_)"/>
    <numFmt numFmtId="165" formatCode="d\-m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Helv"/>
    </font>
    <font>
      <sz val="9"/>
      <name val="Arial"/>
      <family val="2"/>
    </font>
    <font>
      <sz val="7"/>
      <name val="Helv"/>
    </font>
    <font>
      <sz val="8"/>
      <name val="Helv"/>
    </font>
    <font>
      <sz val="10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2" tint="-0.749992370372631"/>
      <name val="Arial"/>
      <family val="2"/>
    </font>
    <font>
      <sz val="7"/>
      <color theme="2" tint="-0.749992370372631"/>
      <name val="Helv"/>
    </font>
    <font>
      <sz val="8"/>
      <color theme="2" tint="-0.749992370372631"/>
      <name val="Arial"/>
      <family val="2"/>
    </font>
    <font>
      <sz val="8"/>
      <color theme="2" tint="-0.749992370372631"/>
      <name val="Helv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DB69"/>
        <bgColor indexed="64"/>
      </patternFill>
    </fill>
    <fill>
      <patternFill patternType="solid">
        <fgColor rgb="FFF7C120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/>
      <diagonal/>
    </border>
  </borders>
  <cellStyleXfs count="21">
    <xf numFmtId="0" fontId="0" fillId="0" borderId="0"/>
    <xf numFmtId="44" fontId="5" fillId="0" borderId="0" applyFont="0" applyFill="0" applyBorder="0" applyAlignment="0" applyProtection="0"/>
    <xf numFmtId="164" fontId="6" fillId="0" borderId="0"/>
    <xf numFmtId="164" fontId="7" fillId="0" borderId="0"/>
    <xf numFmtId="164" fontId="7" fillId="0" borderId="0"/>
    <xf numFmtId="0" fontId="2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113">
    <xf numFmtId="0" fontId="0" fillId="0" borderId="0" xfId="0"/>
    <xf numFmtId="0" fontId="2" fillId="0" borderId="0" xfId="19"/>
    <xf numFmtId="0" fontId="3" fillId="0" borderId="5" xfId="19" applyFont="1" applyBorder="1" applyAlignment="1">
      <alignment horizontal="centerContinuous"/>
    </xf>
    <xf numFmtId="0" fontId="2" fillId="0" borderId="0" xfId="19" applyFont="1"/>
    <xf numFmtId="0" fontId="3" fillId="0" borderId="7" xfId="19" applyFont="1" applyBorder="1" applyAlignment="1">
      <alignment horizontal="centerContinuous"/>
    </xf>
    <xf numFmtId="0" fontId="3" fillId="0" borderId="8" xfId="19" applyFont="1" applyBorder="1" applyAlignment="1">
      <alignment horizontal="centerContinuous"/>
    </xf>
    <xf numFmtId="0" fontId="3" fillId="0" borderId="9" xfId="19" applyFont="1" applyBorder="1" applyAlignment="1">
      <alignment horizontal="centerContinuous"/>
    </xf>
    <xf numFmtId="0" fontId="3" fillId="0" borderId="10" xfId="19" applyFont="1" applyBorder="1" applyAlignment="1">
      <alignment horizontal="centerContinuous"/>
    </xf>
    <xf numFmtId="0" fontId="3" fillId="0" borderId="3" xfId="19" applyFont="1" applyBorder="1" applyAlignment="1">
      <alignment horizontal="centerContinuous"/>
    </xf>
    <xf numFmtId="0" fontId="3" fillId="0" borderId="11" xfId="19" applyFont="1" applyBorder="1" applyAlignment="1">
      <alignment horizontal="centerContinuous"/>
    </xf>
    <xf numFmtId="0" fontId="3" fillId="0" borderId="12" xfId="19" applyFont="1" applyBorder="1" applyAlignment="1">
      <alignment horizontal="centerContinuous"/>
    </xf>
    <xf numFmtId="0" fontId="3" fillId="0" borderId="14" xfId="19" applyFont="1" applyBorder="1" applyAlignment="1">
      <alignment horizontal="center"/>
    </xf>
    <xf numFmtId="0" fontId="3" fillId="0" borderId="15" xfId="19" applyFont="1" applyBorder="1" applyAlignment="1">
      <alignment horizontal="center"/>
    </xf>
    <xf numFmtId="5" fontId="3" fillId="2" borderId="16" xfId="1" applyNumberFormat="1" applyFont="1" applyFill="1" applyBorder="1" applyAlignment="1">
      <alignment horizontal="center"/>
    </xf>
    <xf numFmtId="0" fontId="2" fillId="0" borderId="17" xfId="19" applyFont="1" applyBorder="1" applyAlignment="1">
      <alignment horizontal="center"/>
    </xf>
    <xf numFmtId="5" fontId="2" fillId="0" borderId="18" xfId="1" applyNumberFormat="1" applyFont="1" applyBorder="1" applyAlignment="1">
      <alignment horizontal="right"/>
    </xf>
    <xf numFmtId="5" fontId="2" fillId="0" borderId="19" xfId="1" applyNumberFormat="1" applyFont="1" applyBorder="1" applyAlignment="1">
      <alignment horizontal="right"/>
    </xf>
    <xf numFmtId="5" fontId="3" fillId="2" borderId="20" xfId="1" applyNumberFormat="1" applyFont="1" applyFill="1" applyBorder="1" applyAlignment="1">
      <alignment horizontal="right"/>
    </xf>
    <xf numFmtId="5" fontId="3" fillId="2" borderId="21" xfId="1" applyNumberFormat="1" applyFont="1" applyFill="1" applyBorder="1" applyAlignment="1">
      <alignment horizontal="right"/>
    </xf>
    <xf numFmtId="5" fontId="2" fillId="0" borderId="17" xfId="1" applyNumberFormat="1" applyFont="1" applyBorder="1" applyAlignment="1">
      <alignment horizontal="right"/>
    </xf>
    <xf numFmtId="0" fontId="2" fillId="0" borderId="24" xfId="19" applyFont="1" applyBorder="1" applyAlignment="1">
      <alignment horizontal="center"/>
    </xf>
    <xf numFmtId="5" fontId="2" fillId="0" borderId="25" xfId="1" applyNumberFormat="1" applyFont="1" applyBorder="1" applyAlignment="1">
      <alignment horizontal="right"/>
    </xf>
    <xf numFmtId="5" fontId="2" fillId="0" borderId="26" xfId="1" applyNumberFormat="1" applyFont="1" applyBorder="1" applyAlignment="1">
      <alignment horizontal="right"/>
    </xf>
    <xf numFmtId="5" fontId="3" fillId="2" borderId="1" xfId="1" applyNumberFormat="1" applyFont="1" applyFill="1" applyBorder="1" applyAlignment="1">
      <alignment horizontal="right"/>
    </xf>
    <xf numFmtId="5" fontId="3" fillId="2" borderId="27" xfId="1" applyNumberFormat="1" applyFont="1" applyFill="1" applyBorder="1" applyAlignment="1">
      <alignment horizontal="right"/>
    </xf>
    <xf numFmtId="5" fontId="2" fillId="0" borderId="24" xfId="1" applyNumberFormat="1" applyFont="1" applyBorder="1" applyAlignment="1">
      <alignment horizontal="right"/>
    </xf>
    <xf numFmtId="0" fontId="2" fillId="0" borderId="24" xfId="19" quotePrefix="1" applyFont="1" applyBorder="1" applyAlignment="1">
      <alignment horizontal="center"/>
    </xf>
    <xf numFmtId="0" fontId="2" fillId="0" borderId="24" xfId="19" applyBorder="1" applyAlignment="1">
      <alignment horizontal="right"/>
    </xf>
    <xf numFmtId="0" fontId="2" fillId="0" borderId="31" xfId="19" quotePrefix="1" applyFont="1" applyBorder="1" applyAlignment="1">
      <alignment horizontal="center"/>
    </xf>
    <xf numFmtId="5" fontId="2" fillId="0" borderId="32" xfId="1" applyNumberFormat="1" applyFont="1" applyBorder="1" applyAlignment="1">
      <alignment horizontal="right"/>
    </xf>
    <xf numFmtId="5" fontId="2" fillId="0" borderId="33" xfId="1" applyNumberFormat="1" applyFont="1" applyBorder="1" applyAlignment="1">
      <alignment horizontal="right"/>
    </xf>
    <xf numFmtId="5" fontId="3" fillId="2" borderId="2" xfId="1" applyNumberFormat="1" applyFont="1" applyFill="1" applyBorder="1" applyAlignment="1">
      <alignment horizontal="right"/>
    </xf>
    <xf numFmtId="5" fontId="3" fillId="2" borderId="34" xfId="1" applyNumberFormat="1" applyFont="1" applyFill="1" applyBorder="1" applyAlignment="1">
      <alignment horizontal="right"/>
    </xf>
    <xf numFmtId="5" fontId="2" fillId="0" borderId="31" xfId="1" applyNumberFormat="1" applyFont="1" applyBorder="1" applyAlignment="1">
      <alignment horizontal="right"/>
    </xf>
    <xf numFmtId="0" fontId="5" fillId="0" borderId="35" xfId="19" applyFont="1" applyBorder="1" applyAlignment="1">
      <alignment horizontal="centerContinuous" vertical="center"/>
    </xf>
    <xf numFmtId="5" fontId="2" fillId="0" borderId="36" xfId="1" applyNumberFormat="1" applyFont="1" applyBorder="1" applyAlignment="1">
      <alignment horizontal="centerContinuous" vertical="center"/>
    </xf>
    <xf numFmtId="5" fontId="2" fillId="0" borderId="37" xfId="1" applyNumberFormat="1" applyFont="1" applyBorder="1" applyAlignment="1">
      <alignment horizontal="centerContinuous" vertical="center"/>
    </xf>
    <xf numFmtId="5" fontId="2" fillId="0" borderId="38" xfId="1" applyNumberFormat="1" applyFont="1" applyBorder="1" applyAlignment="1">
      <alignment horizontal="right"/>
    </xf>
    <xf numFmtId="0" fontId="2" fillId="0" borderId="39" xfId="19" quotePrefix="1" applyFont="1" applyBorder="1" applyAlignment="1">
      <alignment horizontal="center"/>
    </xf>
    <xf numFmtId="5" fontId="2" fillId="0" borderId="40" xfId="1" applyNumberFormat="1" applyFont="1" applyBorder="1" applyAlignment="1">
      <alignment horizontal="right"/>
    </xf>
    <xf numFmtId="5" fontId="2" fillId="0" borderId="41" xfId="1" applyNumberFormat="1" applyFont="1" applyBorder="1" applyAlignment="1">
      <alignment horizontal="right"/>
    </xf>
    <xf numFmtId="5" fontId="3" fillId="2" borderId="42" xfId="1" applyNumberFormat="1" applyFont="1" applyFill="1" applyBorder="1" applyAlignment="1">
      <alignment horizontal="right"/>
    </xf>
    <xf numFmtId="5" fontId="3" fillId="2" borderId="43" xfId="1" applyNumberFormat="1" applyFont="1" applyFill="1" applyBorder="1" applyAlignment="1">
      <alignment horizontal="right"/>
    </xf>
    <xf numFmtId="5" fontId="2" fillId="0" borderId="39" xfId="1" applyNumberFormat="1" applyFont="1" applyBorder="1" applyAlignment="1">
      <alignment horizontal="right"/>
    </xf>
    <xf numFmtId="5" fontId="3" fillId="2" borderId="24" xfId="1" applyNumberFormat="1" applyFont="1" applyFill="1" applyBorder="1" applyAlignment="1">
      <alignment horizontal="right"/>
    </xf>
    <xf numFmtId="0" fontId="2" fillId="0" borderId="47" xfId="19" applyFont="1" applyBorder="1" applyAlignment="1">
      <alignment horizontal="center"/>
    </xf>
    <xf numFmtId="5" fontId="2" fillId="0" borderId="48" xfId="1" applyNumberFormat="1" applyFont="1" applyBorder="1" applyAlignment="1">
      <alignment horizontal="right"/>
    </xf>
    <xf numFmtId="5" fontId="2" fillId="0" borderId="49" xfId="1" applyNumberFormat="1" applyFont="1" applyBorder="1" applyAlignment="1">
      <alignment horizontal="right"/>
    </xf>
    <xf numFmtId="5" fontId="3" fillId="2" borderId="50" xfId="1" applyNumberFormat="1" applyFont="1" applyFill="1" applyBorder="1" applyAlignment="1">
      <alignment horizontal="right"/>
    </xf>
    <xf numFmtId="5" fontId="3" fillId="2" borderId="51" xfId="1" applyNumberFormat="1" applyFont="1" applyFill="1" applyBorder="1" applyAlignment="1">
      <alignment horizontal="right"/>
    </xf>
    <xf numFmtId="5" fontId="2" fillId="0" borderId="47" xfId="1" applyNumberFormat="1" applyFont="1" applyBorder="1" applyAlignment="1">
      <alignment horizontal="right"/>
    </xf>
    <xf numFmtId="0" fontId="2" fillId="0" borderId="17" xfId="19" applyFont="1" applyFill="1" applyBorder="1" applyAlignment="1">
      <alignment horizontal="center"/>
    </xf>
    <xf numFmtId="5" fontId="2" fillId="0" borderId="18" xfId="1" applyNumberFormat="1" applyFont="1" applyFill="1" applyBorder="1" applyAlignment="1">
      <alignment horizontal="right"/>
    </xf>
    <xf numFmtId="5" fontId="2" fillId="0" borderId="19" xfId="1" applyNumberFormat="1" applyFont="1" applyFill="1" applyBorder="1" applyAlignment="1">
      <alignment horizontal="right"/>
    </xf>
    <xf numFmtId="5" fontId="3" fillId="2" borderId="17" xfId="1" applyNumberFormat="1" applyFont="1" applyFill="1" applyBorder="1" applyAlignment="1">
      <alignment horizontal="right"/>
    </xf>
    <xf numFmtId="5" fontId="2" fillId="0" borderId="17" xfId="1" applyNumberFormat="1" applyFont="1" applyFill="1" applyBorder="1" applyAlignment="1">
      <alignment horizontal="right"/>
    </xf>
    <xf numFmtId="0" fontId="2" fillId="0" borderId="0" xfId="19" applyFont="1" applyFill="1"/>
    <xf numFmtId="0" fontId="2" fillId="0" borderId="24" xfId="19" applyFont="1" applyFill="1" applyBorder="1" applyAlignment="1">
      <alignment horizontal="center"/>
    </xf>
    <xf numFmtId="5" fontId="2" fillId="0" borderId="25" xfId="1" applyNumberFormat="1" applyFont="1" applyFill="1" applyBorder="1" applyAlignment="1">
      <alignment horizontal="right"/>
    </xf>
    <xf numFmtId="5" fontId="2" fillId="0" borderId="26" xfId="1" applyNumberFormat="1" applyFont="1" applyFill="1" applyBorder="1" applyAlignment="1">
      <alignment horizontal="right"/>
    </xf>
    <xf numFmtId="5" fontId="2" fillId="0" borderId="24" xfId="1" applyNumberFormat="1" applyFont="1" applyFill="1" applyBorder="1" applyAlignment="1">
      <alignment horizontal="right"/>
    </xf>
    <xf numFmtId="0" fontId="2" fillId="0" borderId="30" xfId="19" applyFont="1" applyFill="1" applyBorder="1" applyAlignment="1">
      <alignment horizontal="center"/>
    </xf>
    <xf numFmtId="5" fontId="2" fillId="0" borderId="27" xfId="1" applyNumberFormat="1" applyFont="1" applyFill="1" applyBorder="1" applyAlignment="1">
      <alignment horizontal="right"/>
    </xf>
    <xf numFmtId="0" fontId="2" fillId="0" borderId="53" xfId="19" applyFont="1" applyFill="1" applyBorder="1" applyAlignment="1">
      <alignment horizontal="center"/>
    </xf>
    <xf numFmtId="5" fontId="2" fillId="0" borderId="48" xfId="1" applyNumberFormat="1" applyFont="1" applyFill="1" applyBorder="1" applyAlignment="1">
      <alignment horizontal="right"/>
    </xf>
    <xf numFmtId="5" fontId="2" fillId="0" borderId="49" xfId="1" applyNumberFormat="1" applyFont="1" applyFill="1" applyBorder="1" applyAlignment="1">
      <alignment horizontal="right"/>
    </xf>
    <xf numFmtId="5" fontId="3" fillId="2" borderId="47" xfId="1" applyNumberFormat="1" applyFont="1" applyFill="1" applyBorder="1" applyAlignment="1">
      <alignment horizontal="right"/>
    </xf>
    <xf numFmtId="5" fontId="2" fillId="0" borderId="51" xfId="1" applyNumberFormat="1" applyFont="1" applyFill="1" applyBorder="1" applyAlignment="1">
      <alignment horizontal="right"/>
    </xf>
    <xf numFmtId="0" fontId="9" fillId="0" borderId="0" xfId="19" applyFont="1" applyBorder="1" applyAlignment="1">
      <alignment horizontal="left" vertical="center"/>
    </xf>
    <xf numFmtId="0" fontId="2" fillId="0" borderId="0" xfId="19" applyBorder="1" applyAlignment="1">
      <alignment vertical="center"/>
    </xf>
    <xf numFmtId="0" fontId="2" fillId="0" borderId="0" xfId="19" applyBorder="1" applyAlignment="1">
      <alignment vertical="center" wrapText="1"/>
    </xf>
    <xf numFmtId="0" fontId="9" fillId="0" borderId="0" xfId="19" applyFont="1" applyAlignment="1">
      <alignment horizontal="right"/>
    </xf>
    <xf numFmtId="0" fontId="2" fillId="0" borderId="0" xfId="19" applyAlignment="1">
      <alignment vertical="center"/>
    </xf>
    <xf numFmtId="0" fontId="2" fillId="0" borderId="0" xfId="19" applyAlignment="1">
      <alignment vertical="center" wrapText="1"/>
    </xf>
    <xf numFmtId="0" fontId="2" fillId="0" borderId="0" xfId="19" applyAlignment="1">
      <alignment horizontal="center"/>
    </xf>
    <xf numFmtId="0" fontId="2" fillId="0" borderId="54" xfId="19" applyFont="1" applyFill="1" applyBorder="1" applyAlignment="1">
      <alignment horizontal="center"/>
    </xf>
    <xf numFmtId="5" fontId="2" fillId="0" borderId="55" xfId="1" applyNumberFormat="1" applyFont="1" applyFill="1" applyBorder="1" applyAlignment="1">
      <alignment horizontal="right"/>
    </xf>
    <xf numFmtId="5" fontId="2" fillId="0" borderId="56" xfId="1" applyNumberFormat="1" applyFont="1" applyFill="1" applyBorder="1" applyAlignment="1">
      <alignment horizontal="right"/>
    </xf>
    <xf numFmtId="5" fontId="3" fillId="2" borderId="57" xfId="1" applyNumberFormat="1" applyFont="1" applyFill="1" applyBorder="1" applyAlignment="1">
      <alignment horizontal="right"/>
    </xf>
    <xf numFmtId="5" fontId="2" fillId="0" borderId="58" xfId="1" applyNumberFormat="1" applyFont="1" applyFill="1" applyBorder="1" applyAlignment="1">
      <alignment horizontal="right"/>
    </xf>
    <xf numFmtId="0" fontId="2" fillId="0" borderId="0" xfId="19" applyAlignment="1"/>
    <xf numFmtId="0" fontId="11" fillId="0" borderId="0" xfId="19" applyFont="1" applyAlignment="1">
      <alignment horizontal="center"/>
    </xf>
    <xf numFmtId="0" fontId="2" fillId="0" borderId="3" xfId="19" applyBorder="1" applyAlignment="1"/>
    <xf numFmtId="0" fontId="12" fillId="0" borderId="4" xfId="19" applyFont="1" applyBorder="1" applyAlignment="1">
      <alignment horizontal="center" vertical="center" wrapText="1"/>
    </xf>
    <xf numFmtId="0" fontId="5" fillId="0" borderId="6" xfId="19" applyFont="1" applyBorder="1" applyAlignment="1">
      <alignment horizontal="center" vertical="center" wrapText="1"/>
    </xf>
    <xf numFmtId="0" fontId="5" fillId="0" borderId="13" xfId="19" applyFont="1" applyBorder="1" applyAlignment="1">
      <alignment horizontal="center" vertical="center" wrapText="1"/>
    </xf>
    <xf numFmtId="0" fontId="3" fillId="0" borderId="4" xfId="19" applyFont="1" applyBorder="1" applyAlignment="1">
      <alignment horizontal="center" vertical="center" wrapText="1"/>
    </xf>
    <xf numFmtId="0" fontId="2" fillId="0" borderId="6" xfId="19" applyFont="1" applyBorder="1" applyAlignment="1">
      <alignment horizontal="center" vertical="center" wrapText="1"/>
    </xf>
    <xf numFmtId="0" fontId="2" fillId="0" borderId="13" xfId="19" applyFont="1" applyBorder="1" applyAlignment="1">
      <alignment horizontal="center" vertical="center" wrapText="1"/>
    </xf>
    <xf numFmtId="5" fontId="15" fillId="3" borderId="22" xfId="1" applyNumberFormat="1" applyFont="1" applyFill="1" applyBorder="1" applyAlignment="1">
      <alignment horizontal="center" vertical="center" wrapText="1"/>
    </xf>
    <xf numFmtId="164" fontId="16" fillId="3" borderId="5" xfId="2" applyFont="1" applyFill="1" applyBorder="1" applyAlignment="1">
      <alignment horizontal="center" wrapText="1"/>
    </xf>
    <xf numFmtId="164" fontId="16" fillId="3" borderId="23" xfId="2" applyFont="1" applyFill="1" applyBorder="1" applyAlignment="1">
      <alignment horizontal="center" wrapText="1"/>
    </xf>
    <xf numFmtId="164" fontId="16" fillId="3" borderId="28" xfId="2" applyFont="1" applyFill="1" applyBorder="1" applyAlignment="1">
      <alignment horizontal="center" wrapText="1"/>
    </xf>
    <xf numFmtId="164" fontId="16" fillId="3" borderId="0" xfId="2" applyFont="1" applyFill="1" applyAlignment="1">
      <alignment horizontal="center" wrapText="1"/>
    </xf>
    <xf numFmtId="164" fontId="16" fillId="3" borderId="29" xfId="2" applyFont="1" applyFill="1" applyBorder="1" applyAlignment="1">
      <alignment horizontal="center" wrapText="1"/>
    </xf>
    <xf numFmtId="0" fontId="10" fillId="0" borderId="30" xfId="19" applyFont="1" applyBorder="1" applyAlignment="1">
      <alignment horizontal="center" wrapText="1"/>
    </xf>
    <xf numFmtId="0" fontId="2" fillId="0" borderId="1" xfId="19" applyBorder="1" applyAlignment="1">
      <alignment horizontal="center" wrapText="1"/>
    </xf>
    <xf numFmtId="0" fontId="2" fillId="0" borderId="27" xfId="19" applyBorder="1" applyAlignment="1">
      <alignment horizontal="center" wrapText="1"/>
    </xf>
    <xf numFmtId="0" fontId="2" fillId="0" borderId="30" xfId="19" applyBorder="1" applyAlignment="1">
      <alignment horizontal="center" wrapText="1"/>
    </xf>
    <xf numFmtId="0" fontId="17" fillId="3" borderId="28" xfId="19" applyFont="1" applyFill="1" applyBorder="1" applyAlignment="1">
      <alignment horizontal="center" wrapText="1"/>
    </xf>
    <xf numFmtId="164" fontId="18" fillId="3" borderId="0" xfId="2" applyFont="1" applyFill="1" applyBorder="1" applyAlignment="1">
      <alignment horizontal="center" wrapText="1"/>
    </xf>
    <xf numFmtId="164" fontId="18" fillId="3" borderId="29" xfId="2" applyFont="1" applyFill="1" applyBorder="1" applyAlignment="1">
      <alignment horizontal="center" wrapText="1"/>
    </xf>
    <xf numFmtId="164" fontId="18" fillId="3" borderId="44" xfId="2" applyFont="1" applyFill="1" applyBorder="1" applyAlignment="1">
      <alignment horizontal="center" wrapText="1"/>
    </xf>
    <xf numFmtId="164" fontId="18" fillId="3" borderId="45" xfId="2" applyFont="1" applyFill="1" applyBorder="1" applyAlignment="1">
      <alignment horizontal="center" wrapText="1"/>
    </xf>
    <xf numFmtId="164" fontId="18" fillId="3" borderId="46" xfId="2" applyFont="1" applyFill="1" applyBorder="1" applyAlignment="1">
      <alignment horizontal="center" wrapText="1"/>
    </xf>
    <xf numFmtId="0" fontId="19" fillId="0" borderId="22" xfId="19" applyFont="1" applyBorder="1" applyAlignment="1">
      <alignment horizontal="center" vertical="center" wrapText="1"/>
    </xf>
    <xf numFmtId="0" fontId="5" fillId="0" borderId="5" xfId="19" applyFont="1" applyBorder="1" applyAlignment="1">
      <alignment horizontal="center" vertical="center" wrapText="1"/>
    </xf>
    <xf numFmtId="0" fontId="5" fillId="0" borderId="23" xfId="19" applyFont="1" applyBorder="1" applyAlignment="1">
      <alignment horizontal="center" vertical="center" wrapText="1"/>
    </xf>
    <xf numFmtId="0" fontId="5" fillId="0" borderId="52" xfId="19" applyFont="1" applyBorder="1" applyAlignment="1">
      <alignment horizontal="center" vertical="center" wrapText="1"/>
    </xf>
    <xf numFmtId="0" fontId="5" fillId="0" borderId="3" xfId="19" applyFont="1" applyBorder="1" applyAlignment="1">
      <alignment horizontal="center" vertical="center" wrapText="1"/>
    </xf>
    <xf numFmtId="0" fontId="5" fillId="0" borderId="10" xfId="19" applyFont="1" applyBorder="1" applyAlignment="1">
      <alignment horizontal="center" vertical="center" wrapText="1"/>
    </xf>
    <xf numFmtId="165" fontId="9" fillId="0" borderId="0" xfId="19" applyNumberFormat="1" applyFont="1" applyAlignment="1">
      <alignment horizontal="right"/>
    </xf>
    <xf numFmtId="0" fontId="0" fillId="0" borderId="0" xfId="0" applyAlignment="1"/>
  </cellXfs>
  <cellStyles count="21">
    <cellStyle name="Currency 2" xfId="1"/>
    <cellStyle name="Normal" xfId="0" builtinId="0"/>
    <cellStyle name="Normal 2" xfId="2"/>
    <cellStyle name="Normal 2 2" xfId="3"/>
    <cellStyle name="Normal 2 3" xfId="4"/>
    <cellStyle name="Normal 3" xfId="5"/>
    <cellStyle name="Normal 3 2" xfId="6"/>
    <cellStyle name="Normal 3 2 2" xfId="7"/>
    <cellStyle name="Normal 3 2 2 2" xfId="13"/>
    <cellStyle name="Normal 3 2 2 3" xfId="14"/>
    <cellStyle name="Normal 3 2 3" xfId="12"/>
    <cellStyle name="Normal 3 2 4" xfId="15"/>
    <cellStyle name="Normal 3 3" xfId="11"/>
    <cellStyle name="Normal 3 4" xfId="16"/>
    <cellStyle name="Normal 4" xfId="9"/>
    <cellStyle name="Normal 4 2" xfId="20"/>
    <cellStyle name="Normal 5" xfId="17"/>
    <cellStyle name="Normal_hrchange" xfId="19"/>
    <cellStyle name="Percent 2" xfId="8"/>
    <cellStyle name="Percent 3" xfId="10"/>
    <cellStyle name="Percent 4" xfId="18"/>
  </cellStyles>
  <dxfs count="0"/>
  <tableStyles count="0" defaultTableStyle="TableStyleMedium2" defaultPivotStyle="PivotStyleLight16"/>
  <colors>
    <mruColors>
      <color rgb="FFFFEBAB"/>
      <color rgb="FFFFE8AB"/>
      <color rgb="FFFFF7AB"/>
      <color rgb="FFC8A766"/>
      <color rgb="FFFFC305"/>
      <color rgb="FFFFDB69"/>
      <color rgb="FFE3DE00"/>
      <color rgb="FFFFFFB3"/>
      <color rgb="FFDCC8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3">
    <pageSetUpPr fitToPage="1"/>
  </sheetPr>
  <dimension ref="A1:N69"/>
  <sheetViews>
    <sheetView tabSelected="1" workbookViewId="0">
      <selection activeCell="B33" sqref="B33"/>
    </sheetView>
  </sheetViews>
  <sheetFormatPr defaultColWidth="8.5546875" defaultRowHeight="13.2" x14ac:dyDescent="0.25"/>
  <cols>
    <col min="1" max="1" width="8.21875" style="74" customWidth="1"/>
    <col min="2" max="4" width="7" style="1" customWidth="1"/>
    <col min="5" max="5" width="8" style="1" customWidth="1"/>
    <col min="6" max="6" width="7.109375" style="1" customWidth="1"/>
    <col min="7" max="7" width="8" style="1" customWidth="1"/>
    <col min="8" max="8" width="7.109375" style="1" customWidth="1"/>
    <col min="9" max="9" width="7" style="1" customWidth="1"/>
    <col min="10" max="10" width="7.109375" style="1" customWidth="1"/>
    <col min="11" max="11" width="8" style="1" customWidth="1"/>
    <col min="12" max="12" width="7.109375" style="1" customWidth="1"/>
    <col min="13" max="13" width="8" style="1" customWidth="1"/>
    <col min="14" max="14" width="7" style="1" customWidth="1"/>
    <col min="15" max="16384" width="8.5546875" style="1"/>
  </cols>
  <sheetData>
    <row r="1" spans="1:14" ht="15.6" x14ac:dyDescent="0.3">
      <c r="A1" s="81" t="s">
        <v>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5.6" x14ac:dyDescent="0.3">
      <c r="A2" s="81" t="s">
        <v>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5.6" x14ac:dyDescent="0.3">
      <c r="A3" s="81" t="s">
        <v>72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2.75" customHeight="1" thickBot="1" x14ac:dyDescent="0.3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s="3" customFormat="1" ht="13.8" thickBot="1" x14ac:dyDescent="0.3">
      <c r="A5" s="83" t="s">
        <v>22</v>
      </c>
      <c r="B5" s="2" t="s">
        <v>37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86" t="s">
        <v>38</v>
      </c>
    </row>
    <row r="6" spans="1:14" s="3" customFormat="1" ht="13.8" thickBot="1" x14ac:dyDescent="0.3">
      <c r="A6" s="84"/>
      <c r="B6" s="4" t="s">
        <v>39</v>
      </c>
      <c r="C6" s="5"/>
      <c r="D6" s="5"/>
      <c r="E6" s="6"/>
      <c r="F6" s="6"/>
      <c r="G6" s="5"/>
      <c r="H6" s="4" t="s">
        <v>40</v>
      </c>
      <c r="I6" s="5"/>
      <c r="J6" s="5"/>
      <c r="K6" s="6"/>
      <c r="L6" s="6"/>
      <c r="M6" s="6"/>
      <c r="N6" s="87"/>
    </row>
    <row r="7" spans="1:14" s="3" customFormat="1" ht="13.8" thickBot="1" x14ac:dyDescent="0.3">
      <c r="A7" s="84"/>
      <c r="B7" s="4" t="s">
        <v>20</v>
      </c>
      <c r="C7" s="7"/>
      <c r="D7" s="8"/>
      <c r="E7" s="4" t="s">
        <v>21</v>
      </c>
      <c r="F7" s="7"/>
      <c r="G7" s="8"/>
      <c r="H7" s="4" t="s">
        <v>20</v>
      </c>
      <c r="I7" s="7"/>
      <c r="J7" s="8"/>
      <c r="K7" s="9" t="s">
        <v>21</v>
      </c>
      <c r="L7" s="10"/>
      <c r="M7" s="10"/>
      <c r="N7" s="87"/>
    </row>
    <row r="8" spans="1:14" s="3" customFormat="1" ht="13.8" thickBot="1" x14ac:dyDescent="0.3">
      <c r="A8" s="85"/>
      <c r="B8" s="11" t="s">
        <v>23</v>
      </c>
      <c r="C8" s="12" t="s">
        <v>24</v>
      </c>
      <c r="D8" s="13" t="s">
        <v>41</v>
      </c>
      <c r="E8" s="11" t="s">
        <v>23</v>
      </c>
      <c r="F8" s="12" t="s">
        <v>24</v>
      </c>
      <c r="G8" s="13" t="s">
        <v>41</v>
      </c>
      <c r="H8" s="11" t="s">
        <v>23</v>
      </c>
      <c r="I8" s="12" t="s">
        <v>24</v>
      </c>
      <c r="J8" s="13" t="s">
        <v>41</v>
      </c>
      <c r="K8" s="11" t="s">
        <v>23</v>
      </c>
      <c r="L8" s="12" t="s">
        <v>24</v>
      </c>
      <c r="M8" s="13" t="s">
        <v>41</v>
      </c>
      <c r="N8" s="88"/>
    </row>
    <row r="9" spans="1:14" s="3" customFormat="1" x14ac:dyDescent="0.25">
      <c r="A9" s="14" t="s">
        <v>42</v>
      </c>
      <c r="B9" s="15">
        <f>(123.25*2)-(20*2)</f>
        <v>206.5</v>
      </c>
      <c r="C9" s="16">
        <f>20*2</f>
        <v>40</v>
      </c>
      <c r="D9" s="17">
        <f t="shared" ref="D9:D15" si="0">SUM(B9:C9)</f>
        <v>246.5</v>
      </c>
      <c r="E9" s="15">
        <f>(254.25*2)-(20*2)</f>
        <v>468.5</v>
      </c>
      <c r="F9" s="16">
        <f>20*2</f>
        <v>40</v>
      </c>
      <c r="G9" s="18">
        <f t="shared" ref="G9:G15" si="1">SUM(E9:F9)</f>
        <v>508.5</v>
      </c>
      <c r="H9" s="89" t="s">
        <v>43</v>
      </c>
      <c r="I9" s="90"/>
      <c r="J9" s="90"/>
      <c r="K9" s="90"/>
      <c r="L9" s="90"/>
      <c r="M9" s="91"/>
      <c r="N9" s="19">
        <f>145+485</f>
        <v>630</v>
      </c>
    </row>
    <row r="10" spans="1:14" s="3" customFormat="1" x14ac:dyDescent="0.25">
      <c r="A10" s="20" t="s">
        <v>44</v>
      </c>
      <c r="B10" s="21">
        <f>(138.25*2)-(20*2)</f>
        <v>236.5</v>
      </c>
      <c r="C10" s="22">
        <f>20*2</f>
        <v>40</v>
      </c>
      <c r="D10" s="23">
        <f t="shared" si="0"/>
        <v>276.5</v>
      </c>
      <c r="E10" s="21">
        <f>(279.25*2)-(20*2)</f>
        <v>518.5</v>
      </c>
      <c r="F10" s="22">
        <f>20*2</f>
        <v>40</v>
      </c>
      <c r="G10" s="24">
        <f t="shared" si="1"/>
        <v>558.5</v>
      </c>
      <c r="H10" s="92"/>
      <c r="I10" s="93"/>
      <c r="J10" s="93"/>
      <c r="K10" s="93"/>
      <c r="L10" s="93"/>
      <c r="M10" s="94"/>
      <c r="N10" s="25">
        <f>145+485</f>
        <v>630</v>
      </c>
    </row>
    <row r="11" spans="1:14" s="3" customFormat="1" x14ac:dyDescent="0.25">
      <c r="A11" s="20" t="s">
        <v>45</v>
      </c>
      <c r="B11" s="21">
        <f>(140*2)-(21*2)</f>
        <v>238</v>
      </c>
      <c r="C11" s="22">
        <f>(21+5)*2</f>
        <v>52</v>
      </c>
      <c r="D11" s="23">
        <f t="shared" si="0"/>
        <v>290</v>
      </c>
      <c r="E11" s="21">
        <f>(290*2)-(21*2)</f>
        <v>538</v>
      </c>
      <c r="F11" s="22">
        <f>(21+5)*2</f>
        <v>52</v>
      </c>
      <c r="G11" s="24">
        <f t="shared" si="1"/>
        <v>590</v>
      </c>
      <c r="H11" s="92"/>
      <c r="I11" s="93"/>
      <c r="J11" s="93"/>
      <c r="K11" s="93"/>
      <c r="L11" s="93"/>
      <c r="M11" s="94"/>
      <c r="N11" s="25">
        <f>166+486</f>
        <v>652</v>
      </c>
    </row>
    <row r="12" spans="1:14" s="3" customFormat="1" x14ac:dyDescent="0.25">
      <c r="A12" s="20" t="s">
        <v>46</v>
      </c>
      <c r="B12" s="21">
        <f>(147.25*2)-(22*2)</f>
        <v>250.5</v>
      </c>
      <c r="C12" s="22">
        <f>(22+5.75)*2</f>
        <v>55.5</v>
      </c>
      <c r="D12" s="23">
        <f t="shared" si="0"/>
        <v>306</v>
      </c>
      <c r="E12" s="21">
        <f>(305.25*2)-(22*2)</f>
        <v>566.5</v>
      </c>
      <c r="F12" s="22">
        <f>(22+5.75)*2</f>
        <v>55.5</v>
      </c>
      <c r="G12" s="24">
        <f t="shared" si="1"/>
        <v>622</v>
      </c>
      <c r="H12" s="92"/>
      <c r="I12" s="93"/>
      <c r="J12" s="93"/>
      <c r="K12" s="93"/>
      <c r="L12" s="93"/>
      <c r="M12" s="94"/>
      <c r="N12" s="25">
        <f>211+450</f>
        <v>661</v>
      </c>
    </row>
    <row r="13" spans="1:14" s="3" customFormat="1" x14ac:dyDescent="0.25">
      <c r="A13" s="20" t="s">
        <v>47</v>
      </c>
      <c r="B13" s="21">
        <f>(154.25*2)-(22.5*2)</f>
        <v>263.5</v>
      </c>
      <c r="C13" s="22">
        <f>(22.5+6)*2</f>
        <v>57</v>
      </c>
      <c r="D13" s="23">
        <f t="shared" si="0"/>
        <v>320.5</v>
      </c>
      <c r="E13" s="21">
        <f>(320.25*2)-(22.5*2)</f>
        <v>595.5</v>
      </c>
      <c r="F13" s="22">
        <f>(22.5+6)*2</f>
        <v>57</v>
      </c>
      <c r="G13" s="24">
        <f t="shared" si="1"/>
        <v>652.5</v>
      </c>
      <c r="H13" s="92"/>
      <c r="I13" s="93"/>
      <c r="J13" s="93"/>
      <c r="K13" s="93"/>
      <c r="L13" s="93"/>
      <c r="M13" s="94"/>
      <c r="N13" s="25">
        <f>238+570</f>
        <v>808</v>
      </c>
    </row>
    <row r="14" spans="1:14" s="3" customFormat="1" x14ac:dyDescent="0.25">
      <c r="A14" s="20" t="s">
        <v>48</v>
      </c>
      <c r="B14" s="21">
        <f>(172.5*2)-(34.25*2)</f>
        <v>276.5</v>
      </c>
      <c r="C14" s="22">
        <f>(28+6.25)*2</f>
        <v>68.5</v>
      </c>
      <c r="D14" s="23">
        <f t="shared" si="0"/>
        <v>345</v>
      </c>
      <c r="E14" s="21">
        <f>(480.5*2)-(34.25*2)</f>
        <v>892.5</v>
      </c>
      <c r="F14" s="22">
        <f>(28+6.25)*2</f>
        <v>68.5</v>
      </c>
      <c r="G14" s="24">
        <f t="shared" si="1"/>
        <v>961</v>
      </c>
      <c r="H14" s="92"/>
      <c r="I14" s="93"/>
      <c r="J14" s="93"/>
      <c r="K14" s="93"/>
      <c r="L14" s="93"/>
      <c r="M14" s="94"/>
      <c r="N14" s="25">
        <f>260+570</f>
        <v>830</v>
      </c>
    </row>
    <row r="15" spans="1:14" s="3" customFormat="1" ht="12.75" customHeight="1" x14ac:dyDescent="0.25">
      <c r="A15" s="26" t="s">
        <v>49</v>
      </c>
      <c r="B15" s="21">
        <f>(172.5*2)-(34.25*2)</f>
        <v>276.5</v>
      </c>
      <c r="C15" s="22">
        <f>(28+6.25)*2</f>
        <v>68.5</v>
      </c>
      <c r="D15" s="23">
        <f t="shared" si="0"/>
        <v>345</v>
      </c>
      <c r="E15" s="21">
        <f>(480.5*2)-(34.25*2)</f>
        <v>892.5</v>
      </c>
      <c r="F15" s="22">
        <f>(28+6.25)*2</f>
        <v>68.5</v>
      </c>
      <c r="G15" s="24">
        <f t="shared" si="1"/>
        <v>961</v>
      </c>
      <c r="H15" s="92"/>
      <c r="I15" s="93"/>
      <c r="J15" s="93"/>
      <c r="K15" s="93"/>
      <c r="L15" s="93"/>
      <c r="M15" s="94"/>
      <c r="N15" s="25">
        <f>260+570</f>
        <v>830</v>
      </c>
    </row>
    <row r="16" spans="1:14" s="3" customFormat="1" ht="12.75" hidden="1" customHeight="1" x14ac:dyDescent="0.25">
      <c r="A16" s="95" t="s">
        <v>50</v>
      </c>
      <c r="B16" s="96"/>
      <c r="C16" s="96"/>
      <c r="D16" s="96"/>
      <c r="E16" s="96"/>
      <c r="F16" s="96"/>
      <c r="G16" s="97"/>
      <c r="H16" s="92"/>
      <c r="I16" s="93"/>
      <c r="J16" s="93"/>
      <c r="K16" s="93"/>
      <c r="L16" s="93"/>
      <c r="M16" s="94"/>
      <c r="N16" s="25"/>
    </row>
    <row r="17" spans="1:14" s="3" customFormat="1" ht="12.75" hidden="1" customHeight="1" x14ac:dyDescent="0.25">
      <c r="A17" s="98"/>
      <c r="B17" s="96"/>
      <c r="C17" s="96"/>
      <c r="D17" s="96"/>
      <c r="E17" s="96"/>
      <c r="F17" s="96"/>
      <c r="G17" s="97"/>
      <c r="H17" s="92"/>
      <c r="I17" s="93"/>
      <c r="J17" s="93"/>
      <c r="K17" s="93"/>
      <c r="L17" s="93"/>
      <c r="M17" s="94"/>
      <c r="N17" s="27"/>
    </row>
    <row r="18" spans="1:14" s="3" customFormat="1" x14ac:dyDescent="0.25">
      <c r="A18" s="20" t="s">
        <v>51</v>
      </c>
      <c r="B18" s="21">
        <f>(173.5*2)-(35.25*2)</f>
        <v>276.5</v>
      </c>
      <c r="C18" s="22">
        <f>(29+6.25)*2</f>
        <v>70.5</v>
      </c>
      <c r="D18" s="23">
        <f t="shared" ref="D18:D53" si="2">SUM(B18:C18)</f>
        <v>347</v>
      </c>
      <c r="E18" s="21">
        <f>(481.5*2)-(35.25*2)</f>
        <v>892.5</v>
      </c>
      <c r="F18" s="22">
        <f>(29+6.25)*2</f>
        <v>70.5</v>
      </c>
      <c r="G18" s="24">
        <f t="shared" ref="G18:G26" si="3">SUM(E18:F18)</f>
        <v>963</v>
      </c>
      <c r="H18" s="92"/>
      <c r="I18" s="93"/>
      <c r="J18" s="93"/>
      <c r="K18" s="93"/>
      <c r="L18" s="93"/>
      <c r="M18" s="94"/>
      <c r="N18" s="25">
        <f>260+570</f>
        <v>830</v>
      </c>
    </row>
    <row r="19" spans="1:14" s="3" customFormat="1" x14ac:dyDescent="0.25">
      <c r="A19" s="26" t="s">
        <v>52</v>
      </c>
      <c r="B19" s="21">
        <f>277+25</f>
        <v>302</v>
      </c>
      <c r="C19" s="22">
        <f>(29+12.5)*2</f>
        <v>83</v>
      </c>
      <c r="D19" s="23">
        <f t="shared" si="2"/>
        <v>385</v>
      </c>
      <c r="E19" s="21">
        <f>893+25+50</f>
        <v>968</v>
      </c>
      <c r="F19" s="22">
        <f>(29+12.5)*2</f>
        <v>83</v>
      </c>
      <c r="G19" s="24">
        <f t="shared" si="3"/>
        <v>1051</v>
      </c>
      <c r="H19" s="92"/>
      <c r="I19" s="93"/>
      <c r="J19" s="93"/>
      <c r="K19" s="93"/>
      <c r="L19" s="93"/>
      <c r="M19" s="94"/>
      <c r="N19" s="25">
        <f>(155+2.5)*2+570</f>
        <v>885</v>
      </c>
    </row>
    <row r="20" spans="1:14" s="3" customFormat="1" x14ac:dyDescent="0.25">
      <c r="A20" s="26" t="s">
        <v>53</v>
      </c>
      <c r="B20" s="21">
        <f>(192.25*2)-(41.5*2)</f>
        <v>301.5</v>
      </c>
      <c r="C20" s="22">
        <f>(29+12.5)*2</f>
        <v>83</v>
      </c>
      <c r="D20" s="23">
        <f t="shared" si="2"/>
        <v>384.5</v>
      </c>
      <c r="E20" s="21">
        <f>(525.25*2)-(41.5*2)</f>
        <v>967.5</v>
      </c>
      <c r="F20" s="22">
        <f>(29+12.5)*2</f>
        <v>83</v>
      </c>
      <c r="G20" s="24">
        <f t="shared" si="3"/>
        <v>1050.5</v>
      </c>
      <c r="H20" s="92"/>
      <c r="I20" s="93"/>
      <c r="J20" s="93"/>
      <c r="K20" s="93"/>
      <c r="L20" s="93"/>
      <c r="M20" s="94"/>
      <c r="N20" s="25">
        <f>943-35</f>
        <v>908</v>
      </c>
    </row>
    <row r="21" spans="1:14" s="3" customFormat="1" x14ac:dyDescent="0.25">
      <c r="A21" s="26" t="s">
        <v>54</v>
      </c>
      <c r="B21" s="21">
        <f>(192.25*2)-(41.5*2)</f>
        <v>301.5</v>
      </c>
      <c r="C21" s="22">
        <f>(29+12.5)*2+6</f>
        <v>89</v>
      </c>
      <c r="D21" s="23">
        <f t="shared" si="2"/>
        <v>390.5</v>
      </c>
      <c r="E21" s="21">
        <f>968+300</f>
        <v>1268</v>
      </c>
      <c r="F21" s="22">
        <f>(29+12.5)*2+6</f>
        <v>89</v>
      </c>
      <c r="G21" s="24">
        <f t="shared" si="3"/>
        <v>1357</v>
      </c>
      <c r="H21" s="92"/>
      <c r="I21" s="93"/>
      <c r="J21" s="93"/>
      <c r="K21" s="93"/>
      <c r="L21" s="93"/>
      <c r="M21" s="94"/>
      <c r="N21" s="25">
        <f>338+570+35</f>
        <v>943</v>
      </c>
    </row>
    <row r="22" spans="1:14" s="3" customFormat="1" x14ac:dyDescent="0.25">
      <c r="A22" s="26" t="s">
        <v>55</v>
      </c>
      <c r="B22" s="21">
        <f>(195.25*2)-(44.5*2)</f>
        <v>301.5</v>
      </c>
      <c r="C22" s="22">
        <f>(30.5+1.5+12.5+10)*2</f>
        <v>109</v>
      </c>
      <c r="D22" s="23">
        <f t="shared" si="2"/>
        <v>410.5</v>
      </c>
      <c r="E22" s="21">
        <f>(678.25*2)-(44.5*2)</f>
        <v>1267.5</v>
      </c>
      <c r="F22" s="22">
        <f>(30.5+1.5+12.5+10)*2</f>
        <v>109</v>
      </c>
      <c r="G22" s="24">
        <f t="shared" si="3"/>
        <v>1376.5</v>
      </c>
      <c r="H22" s="92"/>
      <c r="I22" s="93"/>
      <c r="J22" s="93"/>
      <c r="K22" s="93"/>
      <c r="L22" s="93"/>
      <c r="M22" s="94"/>
      <c r="N22" s="25">
        <f>338+605</f>
        <v>943</v>
      </c>
    </row>
    <row r="23" spans="1:14" s="3" customFormat="1" x14ac:dyDescent="0.25">
      <c r="A23" s="26" t="s">
        <v>56</v>
      </c>
      <c r="B23" s="21">
        <f>(205.25*2)-(54.5*2)</f>
        <v>301.5</v>
      </c>
      <c r="C23" s="22">
        <f>(40.5+1.5+12.5)*2</f>
        <v>109</v>
      </c>
      <c r="D23" s="23">
        <f t="shared" si="2"/>
        <v>410.5</v>
      </c>
      <c r="E23" s="21">
        <f>(688.25*2)-(54.5*2)</f>
        <v>1267.5</v>
      </c>
      <c r="F23" s="22">
        <f>(40.5+1.5+12.5)*2</f>
        <v>109</v>
      </c>
      <c r="G23" s="24">
        <f t="shared" si="3"/>
        <v>1376.5</v>
      </c>
      <c r="H23" s="92"/>
      <c r="I23" s="93"/>
      <c r="J23" s="93"/>
      <c r="K23" s="93"/>
      <c r="L23" s="93"/>
      <c r="M23" s="94"/>
      <c r="N23" s="25">
        <f>943+128</f>
        <v>1071</v>
      </c>
    </row>
    <row r="24" spans="1:14" s="3" customFormat="1" x14ac:dyDescent="0.25">
      <c r="A24" s="26" t="s">
        <v>57</v>
      </c>
      <c r="B24" s="21">
        <f>(205.25*2)-(54.5*2)</f>
        <v>301.5</v>
      </c>
      <c r="C24" s="22">
        <f>(40.5+1.5+12.5)*2</f>
        <v>109</v>
      </c>
      <c r="D24" s="23">
        <f t="shared" si="2"/>
        <v>410.5</v>
      </c>
      <c r="E24" s="21">
        <f>(688.25*2)-(54.5*2)</f>
        <v>1267.5</v>
      </c>
      <c r="F24" s="22">
        <f>(40.5+1.5+12.5)*2</f>
        <v>109</v>
      </c>
      <c r="G24" s="24">
        <f t="shared" si="3"/>
        <v>1376.5</v>
      </c>
      <c r="H24" s="92"/>
      <c r="I24" s="93"/>
      <c r="J24" s="93"/>
      <c r="K24" s="93"/>
      <c r="L24" s="93"/>
      <c r="M24" s="94"/>
      <c r="N24" s="25">
        <f>405+666</f>
        <v>1071</v>
      </c>
    </row>
    <row r="25" spans="1:14" s="3" customFormat="1" x14ac:dyDescent="0.25">
      <c r="A25" s="26" t="s">
        <v>58</v>
      </c>
      <c r="B25" s="21">
        <f>(205.25*2)-(54.5*2)</f>
        <v>301.5</v>
      </c>
      <c r="C25" s="22">
        <f>(40.5+1.5+12.5)*2</f>
        <v>109</v>
      </c>
      <c r="D25" s="23">
        <f t="shared" si="2"/>
        <v>410.5</v>
      </c>
      <c r="E25" s="21">
        <f>(688.25*2)-(54.5*2)</f>
        <v>1267.5</v>
      </c>
      <c r="F25" s="22">
        <f>(40.5+1.5+12.5)*2</f>
        <v>109</v>
      </c>
      <c r="G25" s="24">
        <f t="shared" si="3"/>
        <v>1376.5</v>
      </c>
      <c r="H25" s="92"/>
      <c r="I25" s="93"/>
      <c r="J25" s="93"/>
      <c r="K25" s="93"/>
      <c r="L25" s="93"/>
      <c r="M25" s="94"/>
      <c r="N25" s="25">
        <f>455+766</f>
        <v>1221</v>
      </c>
    </row>
    <row r="26" spans="1:14" s="3" customFormat="1" x14ac:dyDescent="0.25">
      <c r="A26" s="28" t="s">
        <v>59</v>
      </c>
      <c r="B26" s="29">
        <f>(217*2)-(66.25*2)</f>
        <v>301.5</v>
      </c>
      <c r="C26" s="30">
        <f>66.25*2</f>
        <v>132.5</v>
      </c>
      <c r="D26" s="31">
        <f t="shared" si="2"/>
        <v>434</v>
      </c>
      <c r="E26" s="29">
        <f>(700*2)-(66.25*2)</f>
        <v>1267.5</v>
      </c>
      <c r="F26" s="30">
        <f>66.25*2</f>
        <v>132.5</v>
      </c>
      <c r="G26" s="32">
        <f t="shared" si="3"/>
        <v>1400</v>
      </c>
      <c r="H26" s="92"/>
      <c r="I26" s="93"/>
      <c r="J26" s="93"/>
      <c r="K26" s="93"/>
      <c r="L26" s="93"/>
      <c r="M26" s="94"/>
      <c r="N26" s="33">
        <f>505+859</f>
        <v>1364</v>
      </c>
    </row>
    <row r="27" spans="1:14" s="3" customFormat="1" x14ac:dyDescent="0.25">
      <c r="A27" s="34" t="s">
        <v>60</v>
      </c>
      <c r="B27" s="35"/>
      <c r="C27" s="35"/>
      <c r="D27" s="35"/>
      <c r="E27" s="35"/>
      <c r="F27" s="36"/>
      <c r="G27" s="36"/>
      <c r="H27" s="92"/>
      <c r="I27" s="93"/>
      <c r="J27" s="93"/>
      <c r="K27" s="93"/>
      <c r="L27" s="93"/>
      <c r="M27" s="94"/>
      <c r="N27" s="37"/>
    </row>
    <row r="28" spans="1:14" s="3" customFormat="1" x14ac:dyDescent="0.25">
      <c r="A28" s="38" t="s">
        <v>61</v>
      </c>
      <c r="B28" s="39">
        <f>(217*2)-(66.25*2)</f>
        <v>301.5</v>
      </c>
      <c r="C28" s="40">
        <f>66.25*2</f>
        <v>132.5</v>
      </c>
      <c r="D28" s="41">
        <f t="shared" si="2"/>
        <v>434</v>
      </c>
      <c r="E28" s="39">
        <f>(700*2)-(66.25*2)</f>
        <v>1267.5</v>
      </c>
      <c r="F28" s="40">
        <f>66.25*2</f>
        <v>132.5</v>
      </c>
      <c r="G28" s="42">
        <f t="shared" ref="G28:G53" si="4">SUM(E28:F28)</f>
        <v>1400</v>
      </c>
      <c r="H28" s="92"/>
      <c r="I28" s="93"/>
      <c r="J28" s="93"/>
      <c r="K28" s="93"/>
      <c r="L28" s="93"/>
      <c r="M28" s="94"/>
      <c r="N28" s="43">
        <f>540+926</f>
        <v>1466</v>
      </c>
    </row>
    <row r="29" spans="1:14" s="3" customFormat="1" x14ac:dyDescent="0.25">
      <c r="A29" s="26" t="s">
        <v>62</v>
      </c>
      <c r="B29" s="21">
        <f>(217*2)-(66.25*2)</f>
        <v>301.5</v>
      </c>
      <c r="C29" s="22">
        <f>66.25*2</f>
        <v>132.5</v>
      </c>
      <c r="D29" s="23">
        <f t="shared" si="2"/>
        <v>434</v>
      </c>
      <c r="E29" s="21">
        <f>(860*2)-133</f>
        <v>1587</v>
      </c>
      <c r="F29" s="22">
        <f>66.25*2</f>
        <v>132.5</v>
      </c>
      <c r="G29" s="24">
        <f t="shared" si="4"/>
        <v>1719.5</v>
      </c>
      <c r="H29" s="92"/>
      <c r="I29" s="93"/>
      <c r="J29" s="93"/>
      <c r="K29" s="93"/>
      <c r="L29" s="93"/>
      <c r="M29" s="94"/>
      <c r="N29" s="25">
        <f>(486+284)*2</f>
        <v>1540</v>
      </c>
    </row>
    <row r="30" spans="1:14" s="3" customFormat="1" x14ac:dyDescent="0.25">
      <c r="A30" s="26" t="s">
        <v>63</v>
      </c>
      <c r="B30" s="21">
        <f>(217*2)-(66.25*2)</f>
        <v>301.5</v>
      </c>
      <c r="C30" s="22">
        <f>66.25*2</f>
        <v>132.5</v>
      </c>
      <c r="D30" s="23">
        <f t="shared" si="2"/>
        <v>434</v>
      </c>
      <c r="E30" s="21">
        <f>(860*2)-133</f>
        <v>1587</v>
      </c>
      <c r="F30" s="22">
        <f>66.25*2</f>
        <v>132.5</v>
      </c>
      <c r="G30" s="24">
        <f t="shared" si="4"/>
        <v>1719.5</v>
      </c>
      <c r="H30" s="92"/>
      <c r="I30" s="93"/>
      <c r="J30" s="93"/>
      <c r="K30" s="93"/>
      <c r="L30" s="93"/>
      <c r="M30" s="94"/>
      <c r="N30" s="25">
        <v>1725</v>
      </c>
    </row>
    <row r="31" spans="1:14" s="3" customFormat="1" x14ac:dyDescent="0.25">
      <c r="A31" s="26" t="s">
        <v>64</v>
      </c>
      <c r="B31" s="21">
        <f>(296*2)-141</f>
        <v>451</v>
      </c>
      <c r="C31" s="22">
        <f>(66.25*2)+8</f>
        <v>140.5</v>
      </c>
      <c r="D31" s="23">
        <f t="shared" si="2"/>
        <v>591.5</v>
      </c>
      <c r="E31" s="21">
        <f>(939*2)-141</f>
        <v>1737</v>
      </c>
      <c r="F31" s="22">
        <f>(66.25*2)+8</f>
        <v>140.5</v>
      </c>
      <c r="G31" s="24">
        <f t="shared" si="4"/>
        <v>1877.5</v>
      </c>
      <c r="H31" s="92"/>
      <c r="I31" s="93"/>
      <c r="J31" s="93"/>
      <c r="K31" s="93"/>
      <c r="L31" s="93"/>
      <c r="M31" s="94"/>
      <c r="N31" s="25">
        <f>783+1104</f>
        <v>1887</v>
      </c>
    </row>
    <row r="32" spans="1:14" s="3" customFormat="1" x14ac:dyDescent="0.25">
      <c r="A32" s="26" t="s">
        <v>65</v>
      </c>
      <c r="B32" s="21">
        <f>(296*2)-141</f>
        <v>451</v>
      </c>
      <c r="C32" s="22">
        <f>(66.25*2)+8</f>
        <v>140.5</v>
      </c>
      <c r="D32" s="23">
        <f t="shared" si="2"/>
        <v>591.5</v>
      </c>
      <c r="E32" s="21">
        <f>(939*2)-141</f>
        <v>1737</v>
      </c>
      <c r="F32" s="22">
        <f>(66.25*2)+8</f>
        <v>140.5</v>
      </c>
      <c r="G32" s="24">
        <f t="shared" si="4"/>
        <v>1877.5</v>
      </c>
      <c r="H32" s="92"/>
      <c r="I32" s="93"/>
      <c r="J32" s="93"/>
      <c r="K32" s="93"/>
      <c r="L32" s="93"/>
      <c r="M32" s="94"/>
      <c r="N32" s="25">
        <f>882+1270</f>
        <v>2152</v>
      </c>
    </row>
    <row r="33" spans="1:14" s="3" customFormat="1" x14ac:dyDescent="0.25">
      <c r="A33" s="26" t="s">
        <v>66</v>
      </c>
      <c r="B33" s="21">
        <f>(296*2)-141</f>
        <v>451</v>
      </c>
      <c r="C33" s="22">
        <f>24+141</f>
        <v>165</v>
      </c>
      <c r="D33" s="23">
        <f t="shared" si="2"/>
        <v>616</v>
      </c>
      <c r="E33" s="21">
        <f>1737+174</f>
        <v>1911</v>
      </c>
      <c r="F33" s="22">
        <f>24+141</f>
        <v>165</v>
      </c>
      <c r="G33" s="24">
        <f t="shared" si="4"/>
        <v>2076</v>
      </c>
      <c r="H33" s="92"/>
      <c r="I33" s="93"/>
      <c r="J33" s="93"/>
      <c r="K33" s="93"/>
      <c r="L33" s="93"/>
      <c r="M33" s="94"/>
      <c r="N33" s="25">
        <f>1348+936</f>
        <v>2284</v>
      </c>
    </row>
    <row r="34" spans="1:14" s="3" customFormat="1" x14ac:dyDescent="0.25">
      <c r="A34" s="26" t="s">
        <v>67</v>
      </c>
      <c r="B34" s="21">
        <f>(296*2)-141</f>
        <v>451</v>
      </c>
      <c r="C34" s="22">
        <f>24+141</f>
        <v>165</v>
      </c>
      <c r="D34" s="23">
        <f t="shared" si="2"/>
        <v>616</v>
      </c>
      <c r="E34" s="21">
        <f>1737+174</f>
        <v>1911</v>
      </c>
      <c r="F34" s="22">
        <f>24+141</f>
        <v>165</v>
      </c>
      <c r="G34" s="24">
        <f t="shared" si="4"/>
        <v>2076</v>
      </c>
      <c r="H34" s="92"/>
      <c r="I34" s="93"/>
      <c r="J34" s="93"/>
      <c r="K34" s="93"/>
      <c r="L34" s="93"/>
      <c r="M34" s="94"/>
      <c r="N34" s="25">
        <f>936+1348</f>
        <v>2284</v>
      </c>
    </row>
    <row r="35" spans="1:14" s="3" customFormat="1" x14ac:dyDescent="0.25">
      <c r="A35" s="26" t="s">
        <v>68</v>
      </c>
      <c r="B35" s="21">
        <f>451+100</f>
        <v>551</v>
      </c>
      <c r="C35" s="22">
        <f>24+141</f>
        <v>165</v>
      </c>
      <c r="D35" s="23">
        <f t="shared" si="2"/>
        <v>716</v>
      </c>
      <c r="E35" s="21">
        <f>1911+150</f>
        <v>2061</v>
      </c>
      <c r="F35" s="22">
        <f>24+141</f>
        <v>165</v>
      </c>
      <c r="G35" s="24">
        <f t="shared" si="4"/>
        <v>2226</v>
      </c>
      <c r="H35" s="92"/>
      <c r="I35" s="93"/>
      <c r="J35" s="93"/>
      <c r="K35" s="93"/>
      <c r="L35" s="93"/>
      <c r="M35" s="94"/>
      <c r="N35" s="25">
        <f>1022+1448</f>
        <v>2470</v>
      </c>
    </row>
    <row r="36" spans="1:14" s="3" customFormat="1" x14ac:dyDescent="0.25">
      <c r="A36" s="26" t="s">
        <v>69</v>
      </c>
      <c r="B36" s="21">
        <f>280.75*2</f>
        <v>561.5</v>
      </c>
      <c r="C36" s="22">
        <f>79.75*2</f>
        <v>159.5</v>
      </c>
      <c r="D36" s="23">
        <f t="shared" si="2"/>
        <v>721</v>
      </c>
      <c r="E36" s="21">
        <f>1035.75*2</f>
        <v>2071.5</v>
      </c>
      <c r="F36" s="22">
        <f>79.75*2</f>
        <v>159.5</v>
      </c>
      <c r="G36" s="24">
        <f t="shared" si="4"/>
        <v>2231</v>
      </c>
      <c r="H36" s="92"/>
      <c r="I36" s="93"/>
      <c r="J36" s="93"/>
      <c r="K36" s="93"/>
      <c r="L36" s="93"/>
      <c r="M36" s="94"/>
      <c r="N36" s="25">
        <f>1042+1492</f>
        <v>2534</v>
      </c>
    </row>
    <row r="37" spans="1:14" s="3" customFormat="1" x14ac:dyDescent="0.25">
      <c r="A37" s="26" t="s">
        <v>25</v>
      </c>
      <c r="B37" s="21">
        <f>309.25*2</f>
        <v>618.5</v>
      </c>
      <c r="C37" s="22">
        <f>79.75*2</f>
        <v>159.5</v>
      </c>
      <c r="D37" s="23">
        <f t="shared" si="2"/>
        <v>778</v>
      </c>
      <c r="E37" s="21">
        <f>1141.25*2</f>
        <v>2282.5</v>
      </c>
      <c r="F37" s="22">
        <f>79.75*2</f>
        <v>159.5</v>
      </c>
      <c r="G37" s="24">
        <f t="shared" si="4"/>
        <v>2442</v>
      </c>
      <c r="H37" s="92"/>
      <c r="I37" s="93"/>
      <c r="J37" s="93"/>
      <c r="K37" s="93"/>
      <c r="L37" s="93"/>
      <c r="M37" s="94"/>
      <c r="N37" s="25">
        <f>1544+1078+10</f>
        <v>2632</v>
      </c>
    </row>
    <row r="38" spans="1:14" s="3" customFormat="1" x14ac:dyDescent="0.25">
      <c r="A38" s="26" t="s">
        <v>26</v>
      </c>
      <c r="B38" s="21">
        <f>(309.25)*2</f>
        <v>618.5</v>
      </c>
      <c r="C38" s="22">
        <f>79.75*2</f>
        <v>159.5</v>
      </c>
      <c r="D38" s="23">
        <f t="shared" si="2"/>
        <v>778</v>
      </c>
      <c r="E38" s="21">
        <f>1141.25*2</f>
        <v>2282.5</v>
      </c>
      <c r="F38" s="22">
        <f>79.75*2</f>
        <v>159.5</v>
      </c>
      <c r="G38" s="24">
        <f t="shared" si="4"/>
        <v>2442</v>
      </c>
      <c r="H38" s="92"/>
      <c r="I38" s="93"/>
      <c r="J38" s="93"/>
      <c r="K38" s="93"/>
      <c r="L38" s="93"/>
      <c r="M38" s="94"/>
      <c r="N38" s="25">
        <f>1544+1108+10</f>
        <v>2662</v>
      </c>
    </row>
    <row r="39" spans="1:14" s="3" customFormat="1" x14ac:dyDescent="0.25">
      <c r="A39" s="26" t="s">
        <v>27</v>
      </c>
      <c r="B39" s="21">
        <f>329.5*2</f>
        <v>659</v>
      </c>
      <c r="C39" s="22">
        <f>87*2</f>
        <v>174</v>
      </c>
      <c r="D39" s="23">
        <f t="shared" si="2"/>
        <v>833</v>
      </c>
      <c r="E39" s="21">
        <f>1215.5*2</f>
        <v>2431</v>
      </c>
      <c r="F39" s="22">
        <f>87*2</f>
        <v>174</v>
      </c>
      <c r="G39" s="24">
        <f t="shared" si="4"/>
        <v>2605</v>
      </c>
      <c r="H39" s="92"/>
      <c r="I39" s="93"/>
      <c r="J39" s="93"/>
      <c r="K39" s="93"/>
      <c r="L39" s="93"/>
      <c r="M39" s="94"/>
      <c r="N39" s="25">
        <f>1675+1185</f>
        <v>2860</v>
      </c>
    </row>
    <row r="40" spans="1:14" s="3" customFormat="1" x14ac:dyDescent="0.25">
      <c r="A40" s="26" t="s">
        <v>28</v>
      </c>
      <c r="B40" s="21">
        <f>379.5*2</f>
        <v>759</v>
      </c>
      <c r="C40" s="22">
        <f>122*2</f>
        <v>244</v>
      </c>
      <c r="D40" s="23">
        <f t="shared" si="2"/>
        <v>1003</v>
      </c>
      <c r="E40" s="21">
        <f>1397.5*2</f>
        <v>2795</v>
      </c>
      <c r="F40" s="22">
        <f>122*2</f>
        <v>244</v>
      </c>
      <c r="G40" s="24">
        <f t="shared" si="4"/>
        <v>3039</v>
      </c>
      <c r="H40" s="99" t="s">
        <v>70</v>
      </c>
      <c r="I40" s="100"/>
      <c r="J40" s="100"/>
      <c r="K40" s="100"/>
      <c r="L40" s="100"/>
      <c r="M40" s="101"/>
      <c r="N40" s="25">
        <f>1734+1226</f>
        <v>2960</v>
      </c>
    </row>
    <row r="41" spans="1:14" s="3" customFormat="1" x14ac:dyDescent="0.25">
      <c r="A41" s="26" t="s">
        <v>29</v>
      </c>
      <c r="B41" s="21">
        <f>451*2</f>
        <v>902</v>
      </c>
      <c r="C41" s="22">
        <f>123*2</f>
        <v>246</v>
      </c>
      <c r="D41" s="23">
        <f t="shared" si="2"/>
        <v>1148</v>
      </c>
      <c r="E41" s="21">
        <f>1661*2</f>
        <v>3322</v>
      </c>
      <c r="F41" s="22">
        <f>123*2</f>
        <v>246</v>
      </c>
      <c r="G41" s="24">
        <f t="shared" si="4"/>
        <v>3568</v>
      </c>
      <c r="H41" s="102"/>
      <c r="I41" s="103"/>
      <c r="J41" s="103"/>
      <c r="K41" s="103"/>
      <c r="L41" s="103"/>
      <c r="M41" s="104"/>
      <c r="N41" s="33">
        <f>1855+1312</f>
        <v>3167</v>
      </c>
    </row>
    <row r="42" spans="1:14" s="3" customFormat="1" x14ac:dyDescent="0.25">
      <c r="A42" s="26" t="s">
        <v>30</v>
      </c>
      <c r="B42" s="21">
        <f>522.5*2</f>
        <v>1045</v>
      </c>
      <c r="C42" s="22">
        <f>124*2</f>
        <v>248</v>
      </c>
      <c r="D42" s="23">
        <f t="shared" si="2"/>
        <v>1293</v>
      </c>
      <c r="E42" s="21">
        <f>1924.5*2</f>
        <v>3849</v>
      </c>
      <c r="F42" s="22">
        <f>124*2</f>
        <v>248</v>
      </c>
      <c r="G42" s="24">
        <f t="shared" si="4"/>
        <v>4097</v>
      </c>
      <c r="H42" s="39">
        <f>653*2</f>
        <v>1306</v>
      </c>
      <c r="I42" s="40">
        <f>124*2</f>
        <v>248</v>
      </c>
      <c r="J42" s="41">
        <f t="shared" ref="J42:J53" si="5">SUM(H42:I42)</f>
        <v>1554</v>
      </c>
      <c r="K42" s="39">
        <f>2055*2</f>
        <v>4110</v>
      </c>
      <c r="L42" s="40">
        <f>124*2</f>
        <v>248</v>
      </c>
      <c r="M42" s="41">
        <f t="shared" ref="M42:M53" si="6">SUM(K42:L42)</f>
        <v>4358</v>
      </c>
      <c r="N42" s="43">
        <f>1911+1351</f>
        <v>3262</v>
      </c>
    </row>
    <row r="43" spans="1:14" s="3" customFormat="1" x14ac:dyDescent="0.25">
      <c r="A43" s="26" t="s">
        <v>31</v>
      </c>
      <c r="B43" s="21">
        <f>584*2</f>
        <v>1168</v>
      </c>
      <c r="C43" s="22">
        <f>131*2</f>
        <v>262</v>
      </c>
      <c r="D43" s="23">
        <f t="shared" si="2"/>
        <v>1430</v>
      </c>
      <c r="E43" s="21">
        <f>2120*2</f>
        <v>4240</v>
      </c>
      <c r="F43" s="22">
        <f>131*2</f>
        <v>262</v>
      </c>
      <c r="G43" s="24">
        <f t="shared" si="4"/>
        <v>4502</v>
      </c>
      <c r="H43" s="21">
        <f>730*2</f>
        <v>1460</v>
      </c>
      <c r="I43" s="22">
        <f>131*2</f>
        <v>262</v>
      </c>
      <c r="J43" s="23">
        <f t="shared" si="5"/>
        <v>1722</v>
      </c>
      <c r="K43" s="21">
        <f>2266*2</f>
        <v>4532</v>
      </c>
      <c r="L43" s="22">
        <f>131*2</f>
        <v>262</v>
      </c>
      <c r="M43" s="23">
        <f t="shared" si="6"/>
        <v>4794</v>
      </c>
      <c r="N43" s="25">
        <f>1921+1392</f>
        <v>3313</v>
      </c>
    </row>
    <row r="44" spans="1:14" s="3" customFormat="1" x14ac:dyDescent="0.25">
      <c r="A44" s="26" t="s">
        <v>32</v>
      </c>
      <c r="B44" s="21">
        <f>690*2</f>
        <v>1380</v>
      </c>
      <c r="C44" s="22">
        <f>134*2</f>
        <v>268</v>
      </c>
      <c r="D44" s="23">
        <f t="shared" si="2"/>
        <v>1648</v>
      </c>
      <c r="E44" s="21">
        <f>2457*2</f>
        <v>4914</v>
      </c>
      <c r="F44" s="22">
        <f>134*2</f>
        <v>268</v>
      </c>
      <c r="G44" s="24">
        <f t="shared" si="4"/>
        <v>5182</v>
      </c>
      <c r="H44" s="21">
        <f>863*2</f>
        <v>1726</v>
      </c>
      <c r="I44" s="22">
        <f>134*2</f>
        <v>268</v>
      </c>
      <c r="J44" s="23">
        <f t="shared" si="5"/>
        <v>1994</v>
      </c>
      <c r="K44" s="21">
        <f>2630*2</f>
        <v>5260</v>
      </c>
      <c r="L44" s="22">
        <f>134*2</f>
        <v>268</v>
      </c>
      <c r="M44" s="23">
        <f t="shared" si="6"/>
        <v>5528</v>
      </c>
      <c r="N44" s="25">
        <f>1921+1422</f>
        <v>3343</v>
      </c>
    </row>
    <row r="45" spans="1:14" s="3" customFormat="1" x14ac:dyDescent="0.25">
      <c r="A45" s="26" t="s">
        <v>33</v>
      </c>
      <c r="B45" s="21">
        <f>804*2</f>
        <v>1608</v>
      </c>
      <c r="C45" s="22">
        <f>150*2</f>
        <v>300</v>
      </c>
      <c r="D45" s="23">
        <f t="shared" si="2"/>
        <v>1908</v>
      </c>
      <c r="E45" s="21">
        <f>2844*2</f>
        <v>5688</v>
      </c>
      <c r="F45" s="22">
        <f>150*2</f>
        <v>300</v>
      </c>
      <c r="G45" s="24">
        <f t="shared" si="4"/>
        <v>5988</v>
      </c>
      <c r="H45" s="21">
        <f>1008*2</f>
        <v>2016</v>
      </c>
      <c r="I45" s="22">
        <f>150*2</f>
        <v>300</v>
      </c>
      <c r="J45" s="44">
        <f t="shared" si="5"/>
        <v>2316</v>
      </c>
      <c r="K45" s="21">
        <f>3042*2</f>
        <v>6084</v>
      </c>
      <c r="L45" s="22">
        <f>150*2</f>
        <v>300</v>
      </c>
      <c r="M45" s="44">
        <f t="shared" si="6"/>
        <v>6384</v>
      </c>
      <c r="N45" s="25">
        <f>1960+1462</f>
        <v>3422</v>
      </c>
    </row>
    <row r="46" spans="1:14" s="3" customFormat="1" x14ac:dyDescent="0.25">
      <c r="A46" s="26" t="s">
        <v>34</v>
      </c>
      <c r="B46" s="21">
        <f>843*2</f>
        <v>1686</v>
      </c>
      <c r="C46" s="22">
        <f>159.5*2</f>
        <v>319</v>
      </c>
      <c r="D46" s="23">
        <f t="shared" si="2"/>
        <v>2005</v>
      </c>
      <c r="E46" s="21">
        <f>3042*2</f>
        <v>6084</v>
      </c>
      <c r="F46" s="22">
        <f>159.5*2</f>
        <v>319</v>
      </c>
      <c r="G46" s="24">
        <f t="shared" si="4"/>
        <v>6403</v>
      </c>
      <c r="H46" s="21">
        <f>1053*2</f>
        <v>2106</v>
      </c>
      <c r="I46" s="22">
        <f>159.5*2</f>
        <v>319</v>
      </c>
      <c r="J46" s="23">
        <f t="shared" si="5"/>
        <v>2425</v>
      </c>
      <c r="K46" s="21">
        <f>3249*2</f>
        <v>6498</v>
      </c>
      <c r="L46" s="22">
        <f>159.5*2</f>
        <v>319</v>
      </c>
      <c r="M46" s="23">
        <f t="shared" si="6"/>
        <v>6817</v>
      </c>
      <c r="N46" s="25">
        <f>1512+2008</f>
        <v>3520</v>
      </c>
    </row>
    <row r="47" spans="1:14" s="3" customFormat="1" x14ac:dyDescent="0.25">
      <c r="A47" s="26" t="s">
        <v>11</v>
      </c>
      <c r="B47" s="21">
        <f>906*2</f>
        <v>1812</v>
      </c>
      <c r="C47" s="22">
        <f>166*2</f>
        <v>332</v>
      </c>
      <c r="D47" s="23">
        <f t="shared" si="2"/>
        <v>2144</v>
      </c>
      <c r="E47" s="21">
        <f>3270*2</f>
        <v>6540</v>
      </c>
      <c r="F47" s="22">
        <f>166*2</f>
        <v>332</v>
      </c>
      <c r="G47" s="24">
        <f t="shared" si="4"/>
        <v>6872</v>
      </c>
      <c r="H47" s="21">
        <f>1132.5*2</f>
        <v>2265</v>
      </c>
      <c r="I47" s="22">
        <f>166*2</f>
        <v>332</v>
      </c>
      <c r="J47" s="23">
        <f t="shared" si="5"/>
        <v>2597</v>
      </c>
      <c r="K47" s="21">
        <f>3496.5*2</f>
        <v>6993</v>
      </c>
      <c r="L47" s="22">
        <f>166*2</f>
        <v>332</v>
      </c>
      <c r="M47" s="23">
        <f t="shared" si="6"/>
        <v>7325</v>
      </c>
      <c r="N47" s="25">
        <f>1596+2390</f>
        <v>3986</v>
      </c>
    </row>
    <row r="48" spans="1:14" s="3" customFormat="1" x14ac:dyDescent="0.25">
      <c r="A48" s="26" t="s">
        <v>12</v>
      </c>
      <c r="B48" s="21">
        <f>972*2</f>
        <v>1944</v>
      </c>
      <c r="C48" s="22">
        <f>191*2</f>
        <v>382</v>
      </c>
      <c r="D48" s="23">
        <f t="shared" si="2"/>
        <v>2326</v>
      </c>
      <c r="E48" s="21">
        <f>3516*2</f>
        <v>7032</v>
      </c>
      <c r="F48" s="22">
        <f>191*2</f>
        <v>382</v>
      </c>
      <c r="G48" s="24">
        <f t="shared" si="4"/>
        <v>7414</v>
      </c>
      <c r="H48" s="21">
        <f>1215*2</f>
        <v>2430</v>
      </c>
      <c r="I48" s="22">
        <f>191*2</f>
        <v>382</v>
      </c>
      <c r="J48" s="23">
        <f t="shared" si="5"/>
        <v>2812</v>
      </c>
      <c r="K48" s="21">
        <f>3759*2</f>
        <v>7518</v>
      </c>
      <c r="L48" s="22">
        <f>191*2</f>
        <v>382</v>
      </c>
      <c r="M48" s="23">
        <f t="shared" si="6"/>
        <v>7900</v>
      </c>
      <c r="N48" s="25">
        <f>1724+2520</f>
        <v>4244</v>
      </c>
    </row>
    <row r="49" spans="1:14" s="3" customFormat="1" x14ac:dyDescent="0.25">
      <c r="A49" s="26" t="s">
        <v>13</v>
      </c>
      <c r="B49" s="21">
        <f>972*2</f>
        <v>1944</v>
      </c>
      <c r="C49" s="22">
        <f>193*2</f>
        <v>386</v>
      </c>
      <c r="D49" s="23">
        <f t="shared" si="2"/>
        <v>2330</v>
      </c>
      <c r="E49" s="21">
        <f>3516*2</f>
        <v>7032</v>
      </c>
      <c r="F49" s="22">
        <f>193*2</f>
        <v>386</v>
      </c>
      <c r="G49" s="24">
        <f t="shared" si="4"/>
        <v>7418</v>
      </c>
      <c r="H49" s="21">
        <f>1215*2</f>
        <v>2430</v>
      </c>
      <c r="I49" s="22">
        <f>193*2</f>
        <v>386</v>
      </c>
      <c r="J49" s="23">
        <f t="shared" si="5"/>
        <v>2816</v>
      </c>
      <c r="K49" s="21">
        <f>3759.75*2</f>
        <v>7519.5</v>
      </c>
      <c r="L49" s="22">
        <f>193*2</f>
        <v>386</v>
      </c>
      <c r="M49" s="23">
        <f t="shared" si="6"/>
        <v>7905.5</v>
      </c>
      <c r="N49" s="25">
        <f>1758+2520</f>
        <v>4278</v>
      </c>
    </row>
    <row r="50" spans="1:14" s="3" customFormat="1" x14ac:dyDescent="0.25">
      <c r="A50" s="26" t="s">
        <v>14</v>
      </c>
      <c r="B50" s="21">
        <f>1008*2</f>
        <v>2016</v>
      </c>
      <c r="C50" s="22">
        <f>200*2</f>
        <v>400</v>
      </c>
      <c r="D50" s="23">
        <f t="shared" si="2"/>
        <v>2416</v>
      </c>
      <c r="E50" s="21">
        <f>3642*2</f>
        <v>7284</v>
      </c>
      <c r="F50" s="22">
        <f>200*2</f>
        <v>400</v>
      </c>
      <c r="G50" s="24">
        <f t="shared" si="4"/>
        <v>7684</v>
      </c>
      <c r="H50" s="21">
        <f>1260*2</f>
        <v>2520</v>
      </c>
      <c r="I50" s="22">
        <f>200*2</f>
        <v>400</v>
      </c>
      <c r="J50" s="23">
        <f t="shared" si="5"/>
        <v>2920</v>
      </c>
      <c r="K50" s="21">
        <f>3894.75*2</f>
        <v>7789.5</v>
      </c>
      <c r="L50" s="22">
        <f>200*2</f>
        <v>400</v>
      </c>
      <c r="M50" s="23">
        <f t="shared" si="6"/>
        <v>8189.5</v>
      </c>
      <c r="N50" s="25">
        <f>1846+2600</f>
        <v>4446</v>
      </c>
    </row>
    <row r="51" spans="1:14" s="3" customFormat="1" x14ac:dyDescent="0.25">
      <c r="A51" s="20" t="s">
        <v>15</v>
      </c>
      <c r="B51" s="21">
        <f>1083*2</f>
        <v>2166</v>
      </c>
      <c r="C51" s="22">
        <f>204.6*2</f>
        <v>409.2</v>
      </c>
      <c r="D51" s="23">
        <f t="shared" si="2"/>
        <v>2575.1999999999998</v>
      </c>
      <c r="E51" s="21">
        <f>3642*2</f>
        <v>7284</v>
      </c>
      <c r="F51" s="22">
        <f>204.6*2</f>
        <v>409.2</v>
      </c>
      <c r="G51" s="24">
        <f t="shared" si="4"/>
        <v>7693.2</v>
      </c>
      <c r="H51" s="21">
        <f>1353.75*2</f>
        <v>2707.5</v>
      </c>
      <c r="I51" s="22">
        <f>204.6*2</f>
        <v>409.2</v>
      </c>
      <c r="J51" s="23">
        <f t="shared" si="5"/>
        <v>3116.7</v>
      </c>
      <c r="K51" s="21">
        <f>3894.75*2</f>
        <v>7789.5</v>
      </c>
      <c r="L51" s="22">
        <f>204.6*2</f>
        <v>409.2</v>
      </c>
      <c r="M51" s="23">
        <f t="shared" si="6"/>
        <v>8198.7000000000007</v>
      </c>
      <c r="N51" s="25">
        <f>1916+2652</f>
        <v>4568</v>
      </c>
    </row>
    <row r="52" spans="1:14" s="3" customFormat="1" x14ac:dyDescent="0.25">
      <c r="A52" s="20" t="s">
        <v>16</v>
      </c>
      <c r="B52" s="21">
        <f>1158*2</f>
        <v>2316</v>
      </c>
      <c r="C52" s="22">
        <f>245.6*2</f>
        <v>491.2</v>
      </c>
      <c r="D52" s="23">
        <f t="shared" si="2"/>
        <v>2807.2</v>
      </c>
      <c r="E52" s="21">
        <f>3894*2</f>
        <v>7788</v>
      </c>
      <c r="F52" s="22">
        <f>245.6*2</f>
        <v>491.2</v>
      </c>
      <c r="G52" s="24">
        <f t="shared" si="4"/>
        <v>8279.2000000000007</v>
      </c>
      <c r="H52" s="21">
        <f>1447.65*2</f>
        <v>2895.3</v>
      </c>
      <c r="I52" s="22">
        <f>245.6*2</f>
        <v>491.2</v>
      </c>
      <c r="J52" s="23">
        <f t="shared" si="5"/>
        <v>3386.5</v>
      </c>
      <c r="K52" s="21">
        <f>4183.65*2</f>
        <v>8367.2999999999993</v>
      </c>
      <c r="L52" s="22">
        <f>245.6*2</f>
        <v>491.2</v>
      </c>
      <c r="M52" s="23">
        <f t="shared" si="6"/>
        <v>8858.5</v>
      </c>
      <c r="N52" s="25">
        <f>2732+2012</f>
        <v>4744</v>
      </c>
    </row>
    <row r="53" spans="1:14" s="3" customFormat="1" ht="13.8" thickBot="1" x14ac:dyDescent="0.3">
      <c r="A53" s="45" t="s">
        <v>17</v>
      </c>
      <c r="B53" s="46">
        <f>1200*2</f>
        <v>2400</v>
      </c>
      <c r="C53" s="47">
        <f>298.35*2</f>
        <v>596.70000000000005</v>
      </c>
      <c r="D53" s="48">
        <f t="shared" si="2"/>
        <v>2996.7</v>
      </c>
      <c r="E53" s="46">
        <f>4032*2</f>
        <v>8064</v>
      </c>
      <c r="F53" s="47">
        <f>298.35*2</f>
        <v>596.70000000000005</v>
      </c>
      <c r="G53" s="49">
        <f t="shared" si="4"/>
        <v>8660.7000000000007</v>
      </c>
      <c r="H53" s="46">
        <f>1494*2</f>
        <v>2988</v>
      </c>
      <c r="I53" s="47">
        <f>298.35*2</f>
        <v>596.70000000000005</v>
      </c>
      <c r="J53" s="48">
        <f t="shared" si="5"/>
        <v>3584.7</v>
      </c>
      <c r="K53" s="46">
        <f>4338*2</f>
        <v>8676</v>
      </c>
      <c r="L53" s="47">
        <f>298.35*2</f>
        <v>596.70000000000005</v>
      </c>
      <c r="M53" s="48">
        <f t="shared" si="6"/>
        <v>9272.7000000000007</v>
      </c>
      <c r="N53" s="50">
        <f>2182+2938</f>
        <v>5120</v>
      </c>
    </row>
    <row r="54" spans="1:14" s="3" customFormat="1" ht="12.75" customHeight="1" x14ac:dyDescent="0.25">
      <c r="A54" s="105" t="s">
        <v>73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7"/>
    </row>
    <row r="55" spans="1:14" s="3" customFormat="1" ht="12.75" customHeight="1" thickBot="1" x14ac:dyDescent="0.3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10"/>
    </row>
    <row r="56" spans="1:14" s="56" customFormat="1" x14ac:dyDescent="0.25">
      <c r="A56" s="51" t="s">
        <v>18</v>
      </c>
      <c r="B56" s="52">
        <f>84*30</f>
        <v>2520</v>
      </c>
      <c r="C56" s="53">
        <f>284.75*2</f>
        <v>569.5</v>
      </c>
      <c r="D56" s="54">
        <f t="shared" ref="D56:D66" si="7">SUM(B56:C56)</f>
        <v>3089.5</v>
      </c>
      <c r="E56" s="52">
        <f>279*30</f>
        <v>8370</v>
      </c>
      <c r="F56" s="53">
        <f>284.75*2</f>
        <v>569.5</v>
      </c>
      <c r="G56" s="54">
        <f t="shared" ref="G56:G66" si="8">SUM(E56:F56)</f>
        <v>8939.5</v>
      </c>
      <c r="H56" s="52">
        <v>3408</v>
      </c>
      <c r="I56" s="53">
        <f>284.75*2</f>
        <v>569.5</v>
      </c>
      <c r="J56" s="54">
        <f t="shared" ref="J56:J66" si="9">SUM(H56:I56)</f>
        <v>3977.5</v>
      </c>
      <c r="K56" s="52">
        <v>9792</v>
      </c>
      <c r="L56" s="53">
        <f>284.75*2</f>
        <v>569.5</v>
      </c>
      <c r="M56" s="54">
        <f t="shared" ref="M56:M66" si="10">SUM(K56:L56)</f>
        <v>10361.5</v>
      </c>
      <c r="N56" s="55">
        <f>2372+3174</f>
        <v>5546</v>
      </c>
    </row>
    <row r="57" spans="1:14" s="56" customFormat="1" x14ac:dyDescent="0.25">
      <c r="A57" s="57" t="s">
        <v>19</v>
      </c>
      <c r="B57" s="58">
        <f>87*30</f>
        <v>2610</v>
      </c>
      <c r="C57" s="59">
        <f>316.4*2</f>
        <v>632.79999999999995</v>
      </c>
      <c r="D57" s="44">
        <f t="shared" si="7"/>
        <v>3242.8</v>
      </c>
      <c r="E57" s="58">
        <f>288*30</f>
        <v>8640</v>
      </c>
      <c r="F57" s="59">
        <f>C57</f>
        <v>632.79999999999995</v>
      </c>
      <c r="G57" s="44">
        <f t="shared" si="8"/>
        <v>9272.7999999999993</v>
      </c>
      <c r="H57" s="58">
        <f>147*24</f>
        <v>3528</v>
      </c>
      <c r="I57" s="59">
        <f>C57</f>
        <v>632.79999999999995</v>
      </c>
      <c r="J57" s="44">
        <f t="shared" si="9"/>
        <v>4160.8</v>
      </c>
      <c r="K57" s="58">
        <f>421*24</f>
        <v>10104</v>
      </c>
      <c r="L57" s="59">
        <f>C57</f>
        <v>632.79999999999995</v>
      </c>
      <c r="M57" s="44">
        <f t="shared" si="10"/>
        <v>10736.8</v>
      </c>
      <c r="N57" s="60">
        <f>3363+2589.67</f>
        <v>5952.67</v>
      </c>
    </row>
    <row r="58" spans="1:14" s="56" customFormat="1" x14ac:dyDescent="0.25">
      <c r="A58" s="57" t="s">
        <v>4</v>
      </c>
      <c r="B58" s="58">
        <v>2760</v>
      </c>
      <c r="C58" s="59">
        <v>665.6</v>
      </c>
      <c r="D58" s="44">
        <f t="shared" si="7"/>
        <v>3425.6</v>
      </c>
      <c r="E58" s="58">
        <v>9150</v>
      </c>
      <c r="F58" s="59">
        <f>C58</f>
        <v>665.6</v>
      </c>
      <c r="G58" s="44">
        <f t="shared" si="8"/>
        <v>9815.6</v>
      </c>
      <c r="H58" s="58">
        <v>3720</v>
      </c>
      <c r="I58" s="59">
        <f>C58</f>
        <v>665.6</v>
      </c>
      <c r="J58" s="44">
        <f t="shared" si="9"/>
        <v>4385.6000000000004</v>
      </c>
      <c r="K58" s="58">
        <v>10704</v>
      </c>
      <c r="L58" s="59">
        <f>C58</f>
        <v>665.6</v>
      </c>
      <c r="M58" s="44">
        <f t="shared" si="10"/>
        <v>11369.6</v>
      </c>
      <c r="N58" s="60">
        <v>6240.33</v>
      </c>
    </row>
    <row r="59" spans="1:14" s="56" customFormat="1" x14ac:dyDescent="0.25">
      <c r="A59" s="57" t="s">
        <v>5</v>
      </c>
      <c r="B59" s="58">
        <v>2820</v>
      </c>
      <c r="C59" s="59">
        <v>694.6</v>
      </c>
      <c r="D59" s="44">
        <f t="shared" si="7"/>
        <v>3514.6</v>
      </c>
      <c r="E59" s="58">
        <v>9360</v>
      </c>
      <c r="F59" s="59">
        <f>C59</f>
        <v>694.6</v>
      </c>
      <c r="G59" s="44">
        <f t="shared" si="8"/>
        <v>10054.6</v>
      </c>
      <c r="H59" s="58">
        <v>3816</v>
      </c>
      <c r="I59" s="59">
        <f>C59</f>
        <v>694.6</v>
      </c>
      <c r="J59" s="44">
        <f t="shared" si="9"/>
        <v>4510.6000000000004</v>
      </c>
      <c r="K59" s="58">
        <v>10944</v>
      </c>
      <c r="L59" s="59">
        <f>C59</f>
        <v>694.6</v>
      </c>
      <c r="M59" s="44">
        <f t="shared" si="10"/>
        <v>11638.6</v>
      </c>
      <c r="N59" s="60">
        <v>6861</v>
      </c>
    </row>
    <row r="60" spans="1:14" s="56" customFormat="1" x14ac:dyDescent="0.25">
      <c r="A60" s="61" t="s">
        <v>6</v>
      </c>
      <c r="B60" s="58">
        <v>2820</v>
      </c>
      <c r="C60" s="59">
        <v>734.2</v>
      </c>
      <c r="D60" s="44">
        <f t="shared" si="7"/>
        <v>3554.2</v>
      </c>
      <c r="E60" s="58">
        <v>9660</v>
      </c>
      <c r="F60" s="59">
        <v>734.2</v>
      </c>
      <c r="G60" s="44">
        <f t="shared" si="8"/>
        <v>10394.200000000001</v>
      </c>
      <c r="H60" s="58">
        <v>3936</v>
      </c>
      <c r="I60" s="59">
        <v>734.2</v>
      </c>
      <c r="J60" s="44">
        <f t="shared" si="9"/>
        <v>4670.2</v>
      </c>
      <c r="K60" s="58">
        <v>11280</v>
      </c>
      <c r="L60" s="59">
        <v>734.2</v>
      </c>
      <c r="M60" s="44">
        <f t="shared" si="10"/>
        <v>12014.2</v>
      </c>
      <c r="N60" s="62">
        <v>7274.33</v>
      </c>
    </row>
    <row r="61" spans="1:14" s="56" customFormat="1" x14ac:dyDescent="0.25">
      <c r="A61" s="61" t="s">
        <v>7</v>
      </c>
      <c r="B61" s="58">
        <v>2820</v>
      </c>
      <c r="C61" s="59">
        <v>801.26</v>
      </c>
      <c r="D61" s="44">
        <f t="shared" si="7"/>
        <v>3621.26</v>
      </c>
      <c r="E61" s="58">
        <v>10230</v>
      </c>
      <c r="F61" s="59">
        <v>801.26</v>
      </c>
      <c r="G61" s="44">
        <f t="shared" si="8"/>
        <v>11031.26</v>
      </c>
      <c r="H61" s="58">
        <v>4176</v>
      </c>
      <c r="I61" s="59">
        <v>801.26</v>
      </c>
      <c r="J61" s="44">
        <f t="shared" si="9"/>
        <v>4977.26</v>
      </c>
      <c r="K61" s="58">
        <v>11952</v>
      </c>
      <c r="L61" s="59">
        <v>801.26</v>
      </c>
      <c r="M61" s="44">
        <f t="shared" si="10"/>
        <v>12753.26</v>
      </c>
      <c r="N61" s="62">
        <v>7707.33</v>
      </c>
    </row>
    <row r="62" spans="1:14" s="56" customFormat="1" x14ac:dyDescent="0.25">
      <c r="A62" s="61" t="s">
        <v>8</v>
      </c>
      <c r="B62" s="58">
        <v>2820</v>
      </c>
      <c r="C62" s="59">
        <v>906.46</v>
      </c>
      <c r="D62" s="44">
        <f t="shared" si="7"/>
        <v>3726.46</v>
      </c>
      <c r="E62" s="58">
        <v>10740</v>
      </c>
      <c r="F62" s="59">
        <v>906</v>
      </c>
      <c r="G62" s="44">
        <f t="shared" si="8"/>
        <v>11646</v>
      </c>
      <c r="H62" s="58">
        <v>4392</v>
      </c>
      <c r="I62" s="59">
        <f>C62</f>
        <v>906.46</v>
      </c>
      <c r="J62" s="44">
        <f t="shared" si="9"/>
        <v>5298.46</v>
      </c>
      <c r="K62" s="58">
        <v>12552</v>
      </c>
      <c r="L62" s="59">
        <f>C62</f>
        <v>906.46</v>
      </c>
      <c r="M62" s="44">
        <f t="shared" si="10"/>
        <v>13458.46</v>
      </c>
      <c r="N62" s="62">
        <v>8005.67</v>
      </c>
    </row>
    <row r="63" spans="1:14" s="56" customFormat="1" x14ac:dyDescent="0.25">
      <c r="A63" s="61" t="s">
        <v>9</v>
      </c>
      <c r="B63" s="58">
        <v>2970</v>
      </c>
      <c r="C63" s="59">
        <v>957.46</v>
      </c>
      <c r="D63" s="44">
        <v>3927.46</v>
      </c>
      <c r="E63" s="58">
        <v>11280</v>
      </c>
      <c r="F63" s="59">
        <v>957.46</v>
      </c>
      <c r="G63" s="44">
        <v>12237.46</v>
      </c>
      <c r="H63" s="58">
        <v>4608</v>
      </c>
      <c r="I63" s="59">
        <v>957.46</v>
      </c>
      <c r="J63" s="44">
        <v>5565.46</v>
      </c>
      <c r="K63" s="58">
        <v>13176</v>
      </c>
      <c r="L63" s="59">
        <v>957.46</v>
      </c>
      <c r="M63" s="44">
        <v>14133.46</v>
      </c>
      <c r="N63" s="62">
        <v>8360</v>
      </c>
    </row>
    <row r="64" spans="1:14" s="56" customFormat="1" x14ac:dyDescent="0.25">
      <c r="A64" s="61" t="s">
        <v>10</v>
      </c>
      <c r="B64" s="58">
        <v>3120</v>
      </c>
      <c r="C64" s="59">
        <v>1005.22</v>
      </c>
      <c r="D64" s="44">
        <f t="shared" ref="D64" si="11">SUM(B64:C64)</f>
        <v>4125.22</v>
      </c>
      <c r="E64" s="58">
        <v>11850</v>
      </c>
      <c r="F64" s="59">
        <f>C64</f>
        <v>1005.22</v>
      </c>
      <c r="G64" s="44">
        <f t="shared" ref="G64" si="12">SUM(E64:F64)</f>
        <v>12855.22</v>
      </c>
      <c r="H64" s="58">
        <v>4848</v>
      </c>
      <c r="I64" s="59">
        <f>C64</f>
        <v>1005.22</v>
      </c>
      <c r="J64" s="44">
        <f t="shared" ref="J64" si="13">SUM(H64:I64)</f>
        <v>5853.22</v>
      </c>
      <c r="K64" s="58">
        <v>13824</v>
      </c>
      <c r="L64" s="59">
        <f>C64</f>
        <v>1005.22</v>
      </c>
      <c r="M64" s="44">
        <f t="shared" ref="M64" si="14">SUM(K64:L64)</f>
        <v>14829.22</v>
      </c>
      <c r="N64" s="62">
        <v>8759</v>
      </c>
    </row>
    <row r="65" spans="1:14" s="56" customFormat="1" x14ac:dyDescent="0.25">
      <c r="A65" s="75" t="s">
        <v>3</v>
      </c>
      <c r="B65" s="76">
        <v>3180</v>
      </c>
      <c r="C65" s="77">
        <v>1097.8800000000001</v>
      </c>
      <c r="D65" s="78">
        <v>4277.88</v>
      </c>
      <c r="E65" s="76">
        <v>12390</v>
      </c>
      <c r="F65" s="77">
        <v>1097.8800000000001</v>
      </c>
      <c r="G65" s="78">
        <v>13487.880000000001</v>
      </c>
      <c r="H65" s="76">
        <v>4944</v>
      </c>
      <c r="I65" s="77">
        <v>1097.8800000000001</v>
      </c>
      <c r="J65" s="78">
        <v>6041.88</v>
      </c>
      <c r="K65" s="76">
        <v>14448</v>
      </c>
      <c r="L65" s="77">
        <v>1097.8800000000001</v>
      </c>
      <c r="M65" s="78">
        <v>15545.880000000001</v>
      </c>
      <c r="N65" s="79">
        <v>9084</v>
      </c>
    </row>
    <row r="66" spans="1:14" s="56" customFormat="1" ht="13.8" thickBot="1" x14ac:dyDescent="0.3">
      <c r="A66" s="63" t="s">
        <v>2</v>
      </c>
      <c r="B66" s="64">
        <v>3240</v>
      </c>
      <c r="C66" s="65">
        <v>1164.3800000000001</v>
      </c>
      <c r="D66" s="66">
        <f t="shared" si="7"/>
        <v>4404.38</v>
      </c>
      <c r="E66" s="64">
        <v>12960</v>
      </c>
      <c r="F66" s="65">
        <f>C66</f>
        <v>1164.3800000000001</v>
      </c>
      <c r="G66" s="66">
        <f t="shared" si="8"/>
        <v>14124.380000000001</v>
      </c>
      <c r="H66" s="64">
        <v>5040</v>
      </c>
      <c r="I66" s="65">
        <f>C66</f>
        <v>1164.3800000000001</v>
      </c>
      <c r="J66" s="66">
        <f t="shared" si="9"/>
        <v>6204.38</v>
      </c>
      <c r="K66" s="64">
        <v>15096</v>
      </c>
      <c r="L66" s="65">
        <f>C66</f>
        <v>1164.3800000000001</v>
      </c>
      <c r="M66" s="66">
        <f t="shared" si="10"/>
        <v>16260.380000000001</v>
      </c>
      <c r="N66" s="67">
        <v>9451</v>
      </c>
    </row>
    <row r="67" spans="1:14" ht="13.2" customHeight="1" x14ac:dyDescent="0.25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70"/>
      <c r="N67" s="71" t="s">
        <v>1</v>
      </c>
    </row>
    <row r="68" spans="1:14" ht="13.2" customHeight="1" x14ac:dyDescent="0.25">
      <c r="A68" s="68" t="s">
        <v>71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3"/>
      <c r="N68" s="71" t="s">
        <v>0</v>
      </c>
    </row>
    <row r="69" spans="1:14" ht="13.2" customHeight="1" x14ac:dyDescent="0.3">
      <c r="A69" s="68" t="s">
        <v>74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111">
        <v>41642</v>
      </c>
      <c r="N69" s="112"/>
    </row>
  </sheetData>
  <mergeCells count="11">
    <mergeCell ref="H9:M39"/>
    <mergeCell ref="A16:G17"/>
    <mergeCell ref="H40:M41"/>
    <mergeCell ref="A54:N55"/>
    <mergeCell ref="M69:N69"/>
    <mergeCell ref="A1:N1"/>
    <mergeCell ref="A2:N2"/>
    <mergeCell ref="A3:N3"/>
    <mergeCell ref="A4:N4"/>
    <mergeCell ref="A5:A8"/>
    <mergeCell ref="N5:N8"/>
  </mergeCells>
  <printOptions horizontalCentered="1"/>
  <pageMargins left="0.25" right="0.25" top="0.4" bottom="0.25" header="0.5" footer="0.25"/>
  <pageSetup scale="98" firstPageNumber="47" fitToHeight="0" orientation="portrait" useFirstPageNumber="1" r:id="rId1"/>
  <headerFooter alignWithMargins="0"/>
  <rowBreaks count="1" manualBreakCount="1">
    <brk id="5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UWHist</vt:lpstr>
      <vt:lpstr>UWHist!Print_Titles</vt:lpstr>
    </vt:vector>
  </TitlesOfParts>
  <Company>University of Wyoming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Institutional Analysis</dc:creator>
  <cp:lastModifiedBy>Institutional Analysis</cp:lastModifiedBy>
  <cp:lastPrinted>2014-01-31T23:38:28Z</cp:lastPrinted>
  <dcterms:created xsi:type="dcterms:W3CDTF">2013-11-07T16:56:53Z</dcterms:created>
  <dcterms:modified xsi:type="dcterms:W3CDTF">2014-01-31T23:39:40Z</dcterms:modified>
</cp:coreProperties>
</file>